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3\"/>
    </mc:Choice>
  </mc:AlternateContent>
  <bookViews>
    <workbookView xWindow="0" yWindow="0" windowWidth="28770" windowHeight="12270" activeTab="1"/>
  </bookViews>
  <sheets>
    <sheet name="venituri" sheetId="1" r:id="rId1"/>
    <sheet name="cheltuieli" sheetId="2" r:id="rId2"/>
  </sheets>
  <definedNames>
    <definedName name="_xlnm.Database">#REF!</definedName>
    <definedName name="_xlnm.Print_Area" localSheetId="1">cheltuieli!$A$1:$H$294</definedName>
    <definedName name="_xlnm.Print_Area" localSheetId="0">venituri!$A$1:$F$117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G249" i="2"/>
  <c r="G239" i="2"/>
  <c r="G141" i="2"/>
  <c r="G269" i="2"/>
  <c r="G268" i="2"/>
  <c r="G261" i="2"/>
  <c r="G260" i="2"/>
  <c r="G259" i="2"/>
  <c r="G258" i="2"/>
  <c r="G256" i="2"/>
  <c r="G255" i="2"/>
  <c r="G254" i="2"/>
  <c r="G241" i="2"/>
  <c r="G248" i="2"/>
  <c r="G246" i="2"/>
  <c r="G244" i="2"/>
  <c r="G228" i="2"/>
  <c r="G224" i="2"/>
  <c r="G225" i="2"/>
  <c r="G218" i="2"/>
  <c r="G213" i="2"/>
  <c r="G207" i="2"/>
  <c r="G201" i="2"/>
  <c r="G196" i="2"/>
  <c r="G191" i="2"/>
  <c r="G184" i="2"/>
  <c r="G182" i="2"/>
  <c r="G181" i="2"/>
  <c r="G175" i="2"/>
  <c r="G171" i="2"/>
  <c r="G150" i="2"/>
  <c r="G147" i="2"/>
  <c r="G144" i="2"/>
  <c r="G133" i="2"/>
  <c r="G129" i="2"/>
  <c r="G123" i="2"/>
  <c r="H122" i="2"/>
  <c r="G120" i="2"/>
  <c r="G117" i="2"/>
  <c r="G108" i="2"/>
  <c r="G103" i="2"/>
  <c r="G101" i="2"/>
  <c r="G99" i="2"/>
  <c r="G91" i="2"/>
  <c r="G76" i="2"/>
  <c r="G61" i="2"/>
  <c r="G56" i="2"/>
  <c r="G53" i="2"/>
  <c r="G51" i="2"/>
  <c r="G48" i="2"/>
  <c r="G47" i="2"/>
  <c r="G45" i="2"/>
  <c r="G42" i="2"/>
  <c r="G32" i="2"/>
  <c r="G31" i="2"/>
  <c r="G29" i="2"/>
  <c r="G28" i="2"/>
  <c r="G27" i="2"/>
  <c r="G26" i="2"/>
  <c r="G25" i="2"/>
  <c r="E111" i="1" l="1"/>
  <c r="E63" i="1"/>
  <c r="E50" i="1"/>
  <c r="E49" i="1"/>
  <c r="E46" i="1"/>
  <c r="E45" i="1"/>
  <c r="E44" i="1"/>
  <c r="E37" i="1"/>
  <c r="E33" i="1"/>
  <c r="E31" i="1"/>
  <c r="E30" i="1"/>
  <c r="E27" i="1"/>
  <c r="E25" i="1"/>
  <c r="E23" i="1"/>
  <c r="E17" i="1"/>
  <c r="F257" i="2"/>
  <c r="F240" i="2"/>
  <c r="E122" i="2"/>
  <c r="F122" i="2"/>
  <c r="E113" i="2"/>
  <c r="F113" i="2"/>
  <c r="F195" i="2" l="1"/>
  <c r="G226" i="2" l="1"/>
  <c r="G186" i="2" l="1"/>
  <c r="G185" i="2"/>
  <c r="G114" i="2"/>
  <c r="G104" i="2"/>
  <c r="G102" i="2"/>
  <c r="E72" i="1" l="1"/>
  <c r="E119" i="2"/>
  <c r="F119" i="2"/>
  <c r="E60" i="1" l="1"/>
  <c r="D98" i="2"/>
  <c r="E257" i="2"/>
  <c r="E138" i="2"/>
  <c r="E132" i="2"/>
  <c r="E131" i="2" s="1"/>
  <c r="E128" i="2"/>
  <c r="E125" i="2"/>
  <c r="E116" i="2"/>
  <c r="E110" i="2"/>
  <c r="E107" i="2"/>
  <c r="E98" i="2"/>
  <c r="E97" i="2" s="1"/>
  <c r="E94" i="2"/>
  <c r="F155" i="2"/>
  <c r="F149" i="2"/>
  <c r="F146" i="2"/>
  <c r="F143" i="2"/>
  <c r="F138" i="2"/>
  <c r="F132" i="2"/>
  <c r="F131" i="2" s="1"/>
  <c r="F128" i="2"/>
  <c r="F125" i="2"/>
  <c r="F116" i="2"/>
  <c r="F110" i="2"/>
  <c r="F107" i="2"/>
  <c r="F98" i="2"/>
  <c r="F97" i="2" s="1"/>
  <c r="F94" i="2"/>
  <c r="F74" i="2"/>
  <c r="F60" i="2"/>
  <c r="F58" i="2"/>
  <c r="F36" i="2"/>
  <c r="F34" i="2"/>
  <c r="F253" i="2" l="1"/>
  <c r="D287" i="2" l="1"/>
  <c r="D286" i="2" s="1"/>
  <c r="D285" i="2" s="1"/>
  <c r="F287" i="2"/>
  <c r="F286" i="2" s="1"/>
  <c r="F285" i="2" s="1"/>
  <c r="H287" i="2"/>
  <c r="H286" i="2" s="1"/>
  <c r="H285" i="2" s="1"/>
  <c r="D288" i="2"/>
  <c r="E288" i="2"/>
  <c r="E287" i="2" s="1"/>
  <c r="E286" i="2" s="1"/>
  <c r="E285" i="2" s="1"/>
  <c r="F288" i="2"/>
  <c r="G288" i="2"/>
  <c r="G287" i="2" s="1"/>
  <c r="G286" i="2" s="1"/>
  <c r="G285" i="2" s="1"/>
  <c r="H288" i="2"/>
  <c r="D276" i="2"/>
  <c r="E276" i="2"/>
  <c r="F276" i="2"/>
  <c r="G276" i="2"/>
  <c r="G271" i="2" s="1"/>
  <c r="G14" i="2" s="1"/>
  <c r="H276" i="2"/>
  <c r="E271" i="2"/>
  <c r="E14" i="2" s="1"/>
  <c r="D272" i="2"/>
  <c r="D271" i="2" s="1"/>
  <c r="D14" i="2" s="1"/>
  <c r="E272" i="2"/>
  <c r="F272" i="2"/>
  <c r="F271" i="2" s="1"/>
  <c r="F14" i="2" s="1"/>
  <c r="G272" i="2"/>
  <c r="H272" i="2"/>
  <c r="H271" i="2" s="1"/>
  <c r="H14" i="2" s="1"/>
  <c r="D265" i="2"/>
  <c r="D264" i="2" s="1"/>
  <c r="D266" i="2"/>
  <c r="E266" i="2"/>
  <c r="E265" i="2" s="1"/>
  <c r="E264" i="2" s="1"/>
  <c r="F266" i="2"/>
  <c r="F265" i="2" s="1"/>
  <c r="F264" i="2" s="1"/>
  <c r="G266" i="2"/>
  <c r="G265" i="2" s="1"/>
  <c r="G264" i="2" s="1"/>
  <c r="H266" i="2"/>
  <c r="H265" i="2" s="1"/>
  <c r="H264" i="2" s="1"/>
  <c r="D267" i="2"/>
  <c r="E267" i="2"/>
  <c r="F267" i="2"/>
  <c r="G267" i="2"/>
  <c r="H267" i="2"/>
  <c r="D257" i="2"/>
  <c r="D253" i="2" s="1"/>
  <c r="D252" i="2" s="1"/>
  <c r="D251" i="2" s="1"/>
  <c r="D12" i="2" s="1"/>
  <c r="E253" i="2"/>
  <c r="E252" i="2" s="1"/>
  <c r="E251" i="2" s="1"/>
  <c r="E12" i="2" s="1"/>
  <c r="G257" i="2"/>
  <c r="G253" i="2" s="1"/>
  <c r="H257" i="2"/>
  <c r="H253" i="2" s="1"/>
  <c r="D250" i="2"/>
  <c r="E250" i="2"/>
  <c r="E18" i="2" s="1"/>
  <c r="F250" i="2"/>
  <c r="G250" i="2"/>
  <c r="G18" i="2" s="1"/>
  <c r="H250" i="2"/>
  <c r="H18" i="2" s="1"/>
  <c r="F252" i="2"/>
  <c r="F251" i="2" s="1"/>
  <c r="F12" i="2" s="1"/>
  <c r="G252" i="2"/>
  <c r="G251" i="2" s="1"/>
  <c r="G12" i="2" s="1"/>
  <c r="H252" i="2"/>
  <c r="H251" i="2" s="1"/>
  <c r="H12" i="2" s="1"/>
  <c r="D240" i="2"/>
  <c r="E240" i="2"/>
  <c r="G240" i="2"/>
  <c r="H240" i="2"/>
  <c r="D235" i="2"/>
  <c r="E235" i="2"/>
  <c r="F235" i="2"/>
  <c r="G235" i="2"/>
  <c r="H235" i="2"/>
  <c r="D232" i="2"/>
  <c r="E232" i="2"/>
  <c r="F232" i="2"/>
  <c r="G232" i="2"/>
  <c r="H232" i="2"/>
  <c r="D229" i="2"/>
  <c r="E229" i="2"/>
  <c r="F229" i="2"/>
  <c r="G229" i="2"/>
  <c r="H229" i="2"/>
  <c r="F222" i="2"/>
  <c r="G223" i="2"/>
  <c r="H223" i="2"/>
  <c r="D217" i="2"/>
  <c r="E217" i="2"/>
  <c r="F217" i="2"/>
  <c r="G217" i="2"/>
  <c r="H217" i="2"/>
  <c r="D212" i="2"/>
  <c r="E212" i="2"/>
  <c r="F212" i="2"/>
  <c r="G212" i="2"/>
  <c r="H212" i="2"/>
  <c r="D206" i="2"/>
  <c r="D200" i="2" s="1"/>
  <c r="E206" i="2"/>
  <c r="E200" i="2" s="1"/>
  <c r="F206" i="2"/>
  <c r="F200" i="2" s="1"/>
  <c r="G206" i="2"/>
  <c r="H206" i="2"/>
  <c r="H200" i="2" s="1"/>
  <c r="D203" i="2"/>
  <c r="E203" i="2"/>
  <c r="F203" i="2"/>
  <c r="G203" i="2"/>
  <c r="H203" i="2"/>
  <c r="D195" i="2"/>
  <c r="E195" i="2"/>
  <c r="G195" i="2"/>
  <c r="H195" i="2"/>
  <c r="D190" i="2"/>
  <c r="E190" i="2"/>
  <c r="F190" i="2"/>
  <c r="G190" i="2"/>
  <c r="H190" i="2"/>
  <c r="F179" i="2"/>
  <c r="D179" i="2"/>
  <c r="E179" i="2"/>
  <c r="G180" i="2"/>
  <c r="G179" i="2" s="1"/>
  <c r="H179" i="2"/>
  <c r="D174" i="2"/>
  <c r="E174" i="2"/>
  <c r="F174" i="2"/>
  <c r="G174" i="2"/>
  <c r="H174" i="2"/>
  <c r="D170" i="2"/>
  <c r="E170" i="2"/>
  <c r="F170" i="2"/>
  <c r="G170" i="2"/>
  <c r="H170" i="2"/>
  <c r="D165" i="2"/>
  <c r="E165" i="2"/>
  <c r="F165" i="2"/>
  <c r="G165" i="2"/>
  <c r="G160" i="2" s="1"/>
  <c r="H165" i="2"/>
  <c r="E160" i="2"/>
  <c r="D161" i="2"/>
  <c r="D160" i="2" s="1"/>
  <c r="E161" i="2"/>
  <c r="F161" i="2"/>
  <c r="F160" i="2" s="1"/>
  <c r="G161" i="2"/>
  <c r="H161" i="2"/>
  <c r="H160" i="2" s="1"/>
  <c r="D155" i="2"/>
  <c r="E155" i="2"/>
  <c r="G155" i="2"/>
  <c r="H155" i="2"/>
  <c r="D149" i="2"/>
  <c r="E149" i="2"/>
  <c r="G149" i="2"/>
  <c r="H149" i="2"/>
  <c r="D146" i="2"/>
  <c r="E146" i="2"/>
  <c r="G146" i="2"/>
  <c r="H146" i="2"/>
  <c r="D143" i="2"/>
  <c r="E143" i="2"/>
  <c r="G143" i="2"/>
  <c r="H143" i="2"/>
  <c r="D138" i="2"/>
  <c r="G138" i="2"/>
  <c r="H138" i="2"/>
  <c r="D132" i="2"/>
  <c r="D131" i="2" s="1"/>
  <c r="G132" i="2"/>
  <c r="G131" i="2" s="1"/>
  <c r="H132" i="2"/>
  <c r="H131" i="2" s="1"/>
  <c r="D128" i="2"/>
  <c r="G128" i="2"/>
  <c r="H128" i="2"/>
  <c r="D125" i="2"/>
  <c r="G125" i="2"/>
  <c r="H125" i="2"/>
  <c r="D122" i="2"/>
  <c r="G122" i="2"/>
  <c r="D119" i="2"/>
  <c r="G119" i="2"/>
  <c r="H119" i="2"/>
  <c r="D116" i="2"/>
  <c r="G116" i="2"/>
  <c r="H116" i="2"/>
  <c r="D113" i="2"/>
  <c r="G113" i="2"/>
  <c r="H113" i="2"/>
  <c r="D110" i="2"/>
  <c r="G110" i="2"/>
  <c r="H110" i="2"/>
  <c r="D107" i="2"/>
  <c r="G107" i="2"/>
  <c r="H107" i="2"/>
  <c r="H98" i="2"/>
  <c r="H97" i="2" s="1"/>
  <c r="D97" i="2"/>
  <c r="G98" i="2"/>
  <c r="G97" i="2" s="1"/>
  <c r="D94" i="2"/>
  <c r="G94" i="2"/>
  <c r="H94" i="2"/>
  <c r="D79" i="2"/>
  <c r="D78" i="2" s="1"/>
  <c r="D77" i="2" s="1"/>
  <c r="D16" i="2" s="1"/>
  <c r="E79" i="2"/>
  <c r="E78" i="2" s="1"/>
  <c r="F79" i="2"/>
  <c r="F78" i="2" s="1"/>
  <c r="G79" i="2"/>
  <c r="G78" i="2" s="1"/>
  <c r="H79" i="2"/>
  <c r="H78" i="2" s="1"/>
  <c r="D74" i="2"/>
  <c r="D15" i="2" s="1"/>
  <c r="E74" i="2"/>
  <c r="E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G60" i="2"/>
  <c r="H60" i="2"/>
  <c r="D58" i="2"/>
  <c r="E58" i="2"/>
  <c r="G58" i="2"/>
  <c r="H58" i="2"/>
  <c r="D36" i="2"/>
  <c r="E36" i="2"/>
  <c r="G36" i="2"/>
  <c r="H36" i="2"/>
  <c r="D34" i="2"/>
  <c r="E34" i="2"/>
  <c r="G34" i="2"/>
  <c r="H34" i="2"/>
  <c r="F15" i="2"/>
  <c r="D18" i="2"/>
  <c r="F18" i="2"/>
  <c r="D24" i="2"/>
  <c r="E24" i="2"/>
  <c r="F24" i="2"/>
  <c r="F23" i="2" s="1"/>
  <c r="G24" i="2"/>
  <c r="H24" i="2"/>
  <c r="C232" i="2"/>
  <c r="C223" i="2"/>
  <c r="C212" i="2"/>
  <c r="C190" i="2"/>
  <c r="C180" i="2"/>
  <c r="C179"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E67" i="1" s="1"/>
  <c r="E66" i="1" s="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22" i="2" s="1"/>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15" i="1" l="1"/>
  <c r="F15" i="1"/>
  <c r="F14" i="1" s="1"/>
  <c r="G282" i="2"/>
  <c r="G281" i="2" s="1"/>
  <c r="G280" i="2" s="1"/>
  <c r="G284" i="2"/>
  <c r="G283" i="2" s="1"/>
  <c r="H284" i="2"/>
  <c r="H283" i="2" s="1"/>
  <c r="H282" i="2"/>
  <c r="H281" i="2" s="1"/>
  <c r="H280" i="2" s="1"/>
  <c r="F282" i="2"/>
  <c r="F281" i="2" s="1"/>
  <c r="F280" i="2" s="1"/>
  <c r="F284" i="2"/>
  <c r="F283" i="2" s="1"/>
  <c r="E284" i="2"/>
  <c r="E283" i="2" s="1"/>
  <c r="E282" i="2"/>
  <c r="E281" i="2" s="1"/>
  <c r="E280" i="2" s="1"/>
  <c r="D284" i="2"/>
  <c r="D283" i="2" s="1"/>
  <c r="D282" i="2"/>
  <c r="D281" i="2" s="1"/>
  <c r="D280" i="2" s="1"/>
  <c r="E263" i="2"/>
  <c r="E262" i="2" s="1"/>
  <c r="E13" i="2"/>
  <c r="G263" i="2"/>
  <c r="G262" i="2" s="1"/>
  <c r="G13" i="2"/>
  <c r="H263" i="2"/>
  <c r="H262" i="2" s="1"/>
  <c r="H13" i="2"/>
  <c r="F13" i="2"/>
  <c r="F263" i="2"/>
  <c r="F262" i="2" s="1"/>
  <c r="D263" i="2"/>
  <c r="D262" i="2" s="1"/>
  <c r="D13" i="2"/>
  <c r="F221" i="2"/>
  <c r="E222" i="2"/>
  <c r="E221" i="2" s="1"/>
  <c r="H222" i="2"/>
  <c r="H221" i="2" s="1"/>
  <c r="D222" i="2"/>
  <c r="D221" i="2" s="1"/>
  <c r="G222" i="2"/>
  <c r="G221" i="2" s="1"/>
  <c r="H178" i="2"/>
  <c r="D178" i="2"/>
  <c r="G200" i="2"/>
  <c r="G178" i="2" s="1"/>
  <c r="F178" i="2"/>
  <c r="E178" i="2"/>
  <c r="F142" i="2"/>
  <c r="G142" i="2"/>
  <c r="H77" i="2"/>
  <c r="H16" i="2" s="1"/>
  <c r="H17" i="2"/>
  <c r="F77" i="2"/>
  <c r="F16" i="2" s="1"/>
  <c r="F17" i="2"/>
  <c r="E90" i="2"/>
  <c r="D90" i="2"/>
  <c r="F106" i="2"/>
  <c r="H23" i="2"/>
  <c r="H9" i="2" s="1"/>
  <c r="D23" i="2"/>
  <c r="D9" i="2" s="1"/>
  <c r="D17" i="2"/>
  <c r="H90" i="2"/>
  <c r="H142" i="2"/>
  <c r="D142" i="2"/>
  <c r="D106" i="2"/>
  <c r="E142" i="2"/>
  <c r="H106" i="2"/>
  <c r="E106" i="2"/>
  <c r="G106" i="2"/>
  <c r="G90" i="2"/>
  <c r="F90" i="2"/>
  <c r="G17" i="2"/>
  <c r="G77" i="2"/>
  <c r="G16" i="2" s="1"/>
  <c r="E77" i="2"/>
  <c r="E16" i="2" s="1"/>
  <c r="E17" i="2"/>
  <c r="E23" i="2"/>
  <c r="G23" i="2"/>
  <c r="G9" i="2" s="1"/>
  <c r="F9" i="2"/>
  <c r="C102" i="1"/>
  <c r="F102" i="1"/>
  <c r="E102" i="1"/>
  <c r="D102" i="1"/>
  <c r="C200" i="2"/>
  <c r="C178" i="2" s="1"/>
  <c r="C131" i="2"/>
  <c r="C106" i="2" s="1"/>
  <c r="C271" i="2"/>
  <c r="C14" i="2" s="1"/>
  <c r="C160" i="2"/>
  <c r="C142" i="2" s="1"/>
  <c r="C13" i="2"/>
  <c r="C251" i="2"/>
  <c r="C12" i="2" s="1"/>
  <c r="C284" i="2"/>
  <c r="C283" i="2" s="1"/>
  <c r="C282" i="2"/>
  <c r="C281" i="2" s="1"/>
  <c r="C280" i="2" s="1"/>
  <c r="C23" i="2"/>
  <c r="C9" i="2" s="1"/>
  <c r="C90" i="2"/>
  <c r="C221" i="2"/>
  <c r="F52" i="1"/>
  <c r="E52" i="1"/>
  <c r="D52" i="1"/>
  <c r="C52" i="1"/>
  <c r="E14" i="1"/>
  <c r="D14" i="1"/>
  <c r="C14" i="1"/>
  <c r="C17" i="2"/>
  <c r="F8" i="1" l="1"/>
  <c r="F7" i="1" s="1"/>
  <c r="E8" i="1"/>
  <c r="E7" i="1" s="1"/>
  <c r="D89" i="2"/>
  <c r="D88" i="2" s="1"/>
  <c r="D52" i="2" s="1"/>
  <c r="D44" i="2" s="1"/>
  <c r="D43" i="2" s="1"/>
  <c r="D22" i="2" s="1"/>
  <c r="D21"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<sst xmlns="http://schemas.openxmlformats.org/spreadsheetml/2006/main" count="645" uniqueCount="527">
  <si>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</si>
  <si>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</si>
  <si>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</si>
  <si>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</si>
  <si>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</si>
  <si>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</si>
  <si>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</si>
  <si>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</si>
  <si>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</si>
  <si>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</si>
  <si>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</si>
  <si>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</si>
  <si>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</si>
  <si>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</si>
  <si>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</si>
  <si>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</si>
  <si>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</si>
  <si>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</si>
  <si>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</si>
  <si>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</si>
  <si>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</si>
  <si>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</si>
  <si>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</si>
  <si>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</si>
  <si>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</si>
  <si>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</si>
  <si>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</si>
  <si>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</si>
  <si>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</si>
  <si>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</si>
  <si>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</si>
  <si>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</si>
  <si>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</si>
  <si>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</si>
  <si>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</si>
  <si>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</si>
  <si>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</si>
  <si>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</si>
  <si>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</si>
  <si>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</si>
  <si>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</si>
  <si>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</si>
  <si>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</si>
  <si>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</si>
  <si>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</si>
  <si>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</si>
  <si>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</si>
  <si>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</si>
  <si>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</si>
  <si>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</si>
  <si>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</si>
  <si>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</si>
  <si>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</si>
  <si>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</si>
  <si>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</si>
  <si>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</si>
  <si>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</si>
  <si>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</si>
  <si>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</si>
  <si>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</si>
  <si>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</si>
  <si>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</si>
  <si>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</si>
  <si>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</si>
  <si>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</si>
  <si>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</si>
  <si>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</si>
  <si>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</si>
  <si>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</si>
  <si>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</si>
  <si>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</si>
  <si>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</si>
  <si>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</si>
  <si>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</si>
  <si>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</si>
  <si>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</si>
  <si>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</si>
  <si>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</si>
  <si>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</si>
  <si>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</si>
  <si>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</si>
  <si>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</si>
  <si>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</si>
  <si>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</si>
  <si>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</si>
  <si>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</si>
  <si>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</si>
  <si>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</si>
  <si>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</si>
  <si>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</si>
  <si>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</si>
  <si>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</si>
  <si>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</si>
  <si>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</si>
  <si>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</si>
  <si>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</si>
  <si>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</si>
  <si>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</si>
  <si>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</si>
  <si>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</si>
  <si>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</si>
  <si>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</si>
  <si>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</si>
  <si>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</si>
  <si>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</si>
  <si>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</si>
  <si>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</si>
  <si>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</si>
  <si>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</si>
  <si>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</si>
  <si>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</si>
  <si>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</si>
  <si>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</si>
  <si>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</si>
  <si>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</si>
  <si>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</si>
  <si>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</si>
  <si>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</si>
  <si>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</si>
  <si>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</si>
  <si>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</si>
  <si>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</si>
  <si>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</si>
  <si>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</si>
  <si>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</si>
  <si>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</si>
  <si>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</si>
  <si>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</si>
  <si>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</si>
  <si>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</si>
  <si>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</si>
  <si>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</si>
  <si>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</si>
  <si>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</si>
  <si>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</si>
  <si>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</si>
  <si>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</si>
  <si>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</si>
  <si>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</si>
  <si>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</si>
  <si>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</si>
  <si>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</si>
  <si>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</si>
  <si>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</si>
  <si>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</si>
  <si>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</si>
  <si>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</si>
  <si>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</si>
  <si>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</si>
  <si>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</si>
  <si>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</si>
  <si>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</si>
  <si>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</si>
  <si>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</si>
  <si>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</si>
  <si>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</si>
  <si>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</si>
  <si>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</si>
  <si>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</si>
  <si>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</si>
  <si>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</si>
  <si>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</si>
  <si>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</si>
  <si>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</si>
  <si>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</si>
  <si>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</si>
  <si>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</si>
  <si>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</si>
  <si>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</si>
  <si>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</si>
  <si>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</si>
  <si>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</si>
  <si>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</si>
  <si>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</si>
  <si>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</si>
  <si>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</si>
  <si>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</si>
  <si>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</si>
  <si>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</si>
  <si>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</si>
  <si>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</si>
  <si>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</si>
  <si>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</si>
  <si>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</si>
  <si>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</si>
  <si>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</si>
  <si>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</si>
  <si>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</si>
  <si>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</si>
  <si>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</si>
  <si>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</si>
  <si>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</si>
  <si>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</si>
  <si>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</si>
  <si>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</si>
  <si>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</si>
  <si>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</si>
  <si>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</si>
  <si>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</si>
  <si>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</si>
  <si>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</si>
  <si>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</si>
  <si>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</si>
  <si>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</si>
  <si>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</si>
  <si>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</si>
  <si>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</si>
  <si>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</si>
  <si>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</si>
  <si>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</si>
  <si>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</si>
  <si>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</si>
  <si>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</si>
  <si>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</si>
  <si>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</si>
  <si>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</si>
  <si>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</si>
  <si>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</si>
  <si>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</si>
  <si>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</si>
  <si>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</si>
  <si>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</si>
  <si>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</si>
  <si>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</si>
  <si>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</si>
  <si>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</si>
  <si>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</si>
  <si>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</si>
  <si>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</si>
  <si>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</si>
  <si>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</si>
  <si>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</si>
  <si>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</si>
  <si>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</si>
  <si>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</si>
  <si>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</si>
  <si>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</si>
  <si>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</si>
  <si>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</si>
  <si>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</si>
  <si>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</si>
  <si>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</si>
  <si>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</si>
  <si>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</si>
  <si>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</si>
  <si>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</si>
  <si>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</si>
  <si>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</si>
  <si>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</si>
  <si>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</si>
  <si>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</si>
  <si>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</si>
  <si>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</si>
  <si>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</si>
  <si>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</si>
  <si>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</si>
  <si>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</si>
  <si>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</si>
  <si>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</si>
  <si>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</si>
  <si>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</si>
  <si>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</si>
  <si>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</si>
  <si>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</si>
  <si>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</si>
  <si>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</si>
  <si>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</si>
  <si>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</si>
  <si>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</si>
  <si>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</si>
  <si>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</si>
  <si>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</si>
  <si>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</si>
  <si>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</si>
  <si>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</si>
  <si>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</si>
  <si>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</si>
  <si>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</si>
  <si>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</si>
  <si>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</si>
  <si>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</si>
  <si>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</si>
  <si>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</si>
  <si>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</si>
  <si>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</si>
  <si>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</si>
  <si>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</si>
  <si>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</si>
  <si>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</si>
  <si>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</si>
  <si>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</si>
  <si>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</si>
  <si>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</si>
  <si>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</si>
  <si>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</si>
  <si>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</si>
  <si>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</si>
  <si>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</si>
  <si>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</si>
  <si>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</si>
  <si>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</si>
  <si>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</si>
  <si>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</si>
  <si>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</si>
  <si>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</si>
  <si>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</si>
  <si>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</si>
  <si>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</si>
  <si>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</si>
  <si>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</si>
  <si>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</si>
  <si>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</si>
  <si>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</si>
  <si>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</si>
  <si>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</si>
  <si>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</si>
  <si>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</si>
  <si>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</si>
  <si>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</si>
  <si>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</si>
  <si>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</si>
  <si>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</si>
  <si>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</si>
  <si>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</si>
  <si>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</si>
  <si>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</si>
  <si>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</si>
  <si>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</si>
  <si>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</si>
  <si>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</si>
  <si>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</si>
  <si>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</si>
  <si>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</si>
  <si>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</si>
  <si>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</si>
  <si>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</si>
  <si>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</si>
  <si>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</si>
  <si>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</si>
  <si>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</si>
  <si>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</si>
  <si>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</si>
  <si>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</si>
  <si>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</si>
  <si>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</si>
  <si>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</si>
  <si>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</si>
  <si>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</si>
  <si>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</si>
  <si>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</si>
  <si>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</si>
  <si>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</si>
  <si>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</si>
  <si>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</si>
  <si>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</si>
  <si>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</si>
  <si>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</si>
  <si>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</si>
  <si>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</si>
  <si>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</si>
  <si>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</si>
  <si>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</si>
  <si>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</si>
  <si>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</si>
  <si>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</si>
  <si>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</si>
  <si>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</si>
  <si>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</si>
  <si>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</si>
  <si>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</si>
  <si>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</si>
  <si>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</si>
  <si>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</si>
  <si>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</si>
  <si>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</si>
  <si>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</si>
  <si>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</si>
  <si>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</si>
  <si>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</si>
  <si>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</si>
  <si>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</si>
  <si>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</si>
  <si>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</si>
  <si>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</si>
  <si>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</si>
  <si>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</si>
  <si>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</si>
  <si>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</si>
  <si>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</si>
  <si>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</si>
  <si>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</si>
  <si>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</si>
  <si>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</si>
  <si>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</si>
  <si>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</si>
  <si>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</si>
  <si>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</si>
  <si>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</si>
  <si>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</si>
  <si>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</si>
  <si>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</si>
  <si>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</si>
  <si>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</si>
  <si>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</si>
  <si>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</si>
  <si>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</si>
  <si>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</si>
  <si>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</si>
  <si>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</si>
  <si>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</si>
  <si>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</si>
  <si>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</si>
  <si>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</si>
  <si>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</si>
  <si>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</si>
  <si>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</si>
  <si>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</si>
  <si>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</si>
  <si>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</si>
  <si>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</si>
  <si>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</si>
  <si>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</si>
  <si>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</si>
  <si>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</si>
  <si>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</si>
  <si>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</si>
  <si>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</si>
  <si>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</si>
  <si>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</si>
  <si>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</si>
  <si>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</si>
  <si>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</si>
  <si>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</si>
  <si>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</si>
  <si>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</si>
  <si>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</si>
  <si>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</si>
  <si>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</si>
  <si>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</si>
  <si>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</si>
  <si>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</si>
  <si>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</si>
  <si>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</si>
  <si>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</si>
  <si>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</si>
  <si>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</si>
  <si>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</si>
  <si>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</si>
  <si>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</si>
  <si>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</si>
  <si>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</si>
  <si>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</si>
  <si>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</si>
  <si>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</si>
  <si>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</si>
  <si>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</si>
  <si>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</si>
  <si>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</si>
  <si>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</si>
  <si>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</si>
  <si>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</si>
  <si>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</si>
  <si>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</si>
  <si>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</si>
  <si>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</si>
  <si>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</si>
  <si>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</si>
  <si>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</si>
  <si>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</si>
  <si>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</si>
  <si>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</si>
  <si>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</si>
  <si>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</si>
  <si>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</si>
  <si>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</si>
  <si>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</si>
  <si>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</si>
  <si>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</si>
  <si>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</si>
  <si>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</si>
  <si>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</si>
  <si>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</si>
  <si>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</si>
  <si>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</si>
  <si>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</si>
  <si>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</si>
  <si>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</si>
  <si>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</si>
  <si>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</si>
  <si>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</si>
  <si>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</si>
  <si>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</si>
  <si>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</si>
  <si>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</si>
  <si>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</si>
  <si>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</si>
  <si>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</si>
  <si>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</si>
  <si>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</si>
  <si>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</si>
  <si>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</si>
  <si>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</si>
  <si>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</si>
  <si>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</si>
  <si>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</si>
  <si>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</si>
  <si>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</si>
  <si>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</si>
  <si>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</si>
  <si>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</si>
  <si>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</si>
  <si>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</si>
  <si>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</si>
  <si>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</si>
  <si>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</si>
  <si>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</si>
  <si>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</si>
  <si>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</si>
  <si>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</si>
  <si>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</si>
  <si>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CASA DE ASIGURARI DE SANATATE HUNEDOARA</t>
  </si>
  <si>
    <t>EC. DAVID ADRIAN NICOLAE</t>
  </si>
  <si>
    <t xml:space="preserve">      DIRECTOR GENERAL,</t>
  </si>
  <si>
    <t>DR.EC.CUMPANASU ECATERINA</t>
  </si>
  <si>
    <t xml:space="preserve">       DIRECTOR ECONOMIC, </t>
  </si>
  <si>
    <t>CONT DE EXECUTIE CHELTUIELI APRILIE 2023</t>
  </si>
  <si>
    <t>CONT DE EXECUTIE VENITURI APRILIE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</si>
</sst>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0">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56"/>
  <sheetViews>
    <sheetView workbookViewId="0">
      <pane xSplit="3" ySplit="6" topLeftCell="D7" activePane="bottomRight" state="frozen"/>
      <selection activeCell="B2" sqref="B2"/>
      <selection pane="topRight" activeCell="B2" sqref="B2"/>
      <selection pane="bottomLeft" activeCell="B2" sqref="B2"/>
      <selection pane="bottomRight" activeCell="F81" sqref="F81"/>
    </sheetView>
  </sheetViews>
  <sheetFormatPr defaultRowHeight="12.75"/>
  <cols>
    <col min="1" max="1" width="11" style="39" customWidth="1"/>
    <col min="2" max="2" width="59.5703125" style="11" customWidth="1"/>
    <col min="3" max="4" width="1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9" t="s">
        <v>526</v>
      </c>
      <c r="C1" s="99"/>
      <c r="D1" s="9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520</v>
      </c>
      <c r="C2" s="99"/>
      <c r="D2" s="9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29"/>
      <c r="H4" s="129"/>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8"/>
      <c r="EJ4" s="128"/>
      <c r="EK4" s="128"/>
      <c r="EL4" s="128"/>
      <c r="EM4" s="128"/>
      <c r="EN4" s="127"/>
      <c r="EO4" s="127"/>
      <c r="EP4" s="127"/>
      <c r="EQ4" s="127"/>
      <c r="ER4" s="127"/>
      <c r="ES4" s="127"/>
      <c r="ET4" s="127"/>
      <c r="EU4" s="127"/>
      <c r="EV4" s="127"/>
      <c r="EW4" s="127"/>
      <c r="EX4" s="127"/>
      <c r="EY4" s="127"/>
      <c r="EZ4" s="127"/>
      <c r="FA4" s="127"/>
      <c r="FB4" s="127"/>
      <c r="FC4" s="127"/>
      <c r="FD4" s="127"/>
      <c r="FE4" s="127"/>
      <c r="FF4" s="127"/>
      <c r="FG4" s="127"/>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8"/>
      <c r="D6" s="98"/>
      <c r="E6" s="98"/>
      <c r="F6" s="98"/>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0" t="s">
        <v>7</v>
      </c>
      <c r="B7" s="17" t="s">
        <v>8</v>
      </c>
      <c r="C7" s="18">
        <f t="shared" ref="C7:F7" si="0">+C8+C66+C110+C95+C90</f>
        <v>545113840</v>
      </c>
      <c r="D7" s="18">
        <f t="shared" si="0"/>
        <v>321551840</v>
      </c>
      <c r="E7" s="18">
        <f t="shared" si="0"/>
        <v>184167440.13</v>
      </c>
      <c r="F7" s="18">
        <f t="shared" si="0"/>
        <v>34603021.43</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100" t="s">
        <v>9</v>
      </c>
      <c r="B8" s="17" t="s">
        <v>10</v>
      </c>
      <c r="C8" s="18">
        <f t="shared" ref="C8:F8" si="1">+C14+C52+C9</f>
        <v>488692000</v>
      </c>
      <c r="D8" s="18">
        <f t="shared" si="1"/>
        <v>265130000</v>
      </c>
      <c r="E8" s="18">
        <f t="shared" si="1"/>
        <v>128444633.13</v>
      </c>
      <c r="F8" s="18">
        <f t="shared" si="1"/>
        <v>35001267.43</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100"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100"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100"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100"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100"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100" t="s">
        <v>21</v>
      </c>
      <c r="B14" s="17" t="s">
        <v>22</v>
      </c>
      <c r="C14" s="18">
        <f t="shared" ref="C14:F14" si="3">+C15+C28</f>
        <v>488069000</v>
      </c>
      <c r="D14" s="18">
        <f t="shared" si="3"/>
        <v>264957000</v>
      </c>
      <c r="E14" s="18">
        <f t="shared" si="3"/>
        <v>128337242.16</v>
      </c>
      <c r="F14" s="18">
        <f t="shared" si="3"/>
        <v>34978407.030000001</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100" t="s">
        <v>23</v>
      </c>
      <c r="B15" s="17" t="s">
        <v>24</v>
      </c>
      <c r="C15" s="18">
        <f t="shared" ref="C15:F15" si="4">+C16+C24+C27</f>
        <v>25324000</v>
      </c>
      <c r="D15" s="18">
        <f t="shared" si="4"/>
        <v>12517000</v>
      </c>
      <c r="E15" s="18">
        <f t="shared" si="4"/>
        <v>7116172.6600000011</v>
      </c>
      <c r="F15" s="18">
        <f t="shared" si="4"/>
        <v>1907100.03</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100" t="s">
        <v>25</v>
      </c>
      <c r="B16" s="17" t="s">
        <v>26</v>
      </c>
      <c r="C16" s="18">
        <f t="shared" ref="C16:F16" si="5">C17+C18+C20+C21+C22+C19+C23</f>
        <v>5718000</v>
      </c>
      <c r="D16" s="18">
        <f t="shared" si="5"/>
        <v>2735000</v>
      </c>
      <c r="E16" s="18">
        <f t="shared" si="5"/>
        <v>246342</v>
      </c>
      <c r="F16" s="18">
        <f t="shared" si="5"/>
        <v>64668</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1" t="s">
        <v>27</v>
      </c>
      <c r="B17" s="20" t="s">
        <v>28</v>
      </c>
      <c r="C17" s="18">
        <v>5718000</v>
      </c>
      <c r="D17" s="18">
        <v>2735000</v>
      </c>
      <c r="E17" s="122">
        <f>9785+18322-16446+6452</f>
        <v>18113</v>
      </c>
      <c r="F17" s="122">
        <v>6452</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1" t="s">
        <v>29</v>
      </c>
      <c r="B18" s="20" t="s">
        <v>30</v>
      </c>
      <c r="C18" s="18"/>
      <c r="D18" s="18"/>
      <c r="E18" s="122"/>
      <c r="F18" s="122"/>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1" t="s">
        <v>31</v>
      </c>
      <c r="B19" s="20" t="s">
        <v>32</v>
      </c>
      <c r="C19" s="18"/>
      <c r="D19" s="18"/>
      <c r="E19" s="122"/>
      <c r="F19" s="122"/>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1" t="s">
        <v>33</v>
      </c>
      <c r="B20" s="20" t="s">
        <v>34</v>
      </c>
      <c r="C20" s="18"/>
      <c r="D20" s="18"/>
      <c r="E20" s="122"/>
      <c r="F20" s="122"/>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1" t="s">
        <v>35</v>
      </c>
      <c r="B21" s="20" t="s">
        <v>36</v>
      </c>
      <c r="C21" s="18"/>
      <c r="D21" s="18"/>
      <c r="E21" s="122"/>
      <c r="F21" s="122"/>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1" t="s">
        <v>37</v>
      </c>
      <c r="B22" s="102" t="s">
        <v>38</v>
      </c>
      <c r="C22" s="18"/>
      <c r="D22" s="18"/>
      <c r="E22" s="122"/>
      <c r="F22" s="122"/>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1" t="s">
        <v>39</v>
      </c>
      <c r="B23" s="102" t="s">
        <v>40</v>
      </c>
      <c r="C23" s="18"/>
      <c r="D23" s="18"/>
      <c r="E23" s="122">
        <f>59567+49936+60510+58216</f>
        <v>228229</v>
      </c>
      <c r="F23" s="122">
        <v>58216</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100" t="s">
        <v>41</v>
      </c>
      <c r="B24" s="103" t="s">
        <v>42</v>
      </c>
      <c r="C24" s="21">
        <f t="shared" ref="C24:F24" si="6">C25+C26</f>
        <v>0</v>
      </c>
      <c r="D24" s="21">
        <f t="shared" si="6"/>
        <v>0</v>
      </c>
      <c r="E24" s="21">
        <f t="shared" si="6"/>
        <v>1238</v>
      </c>
      <c r="F24" s="21">
        <f t="shared" si="6"/>
        <v>923</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1" t="s">
        <v>43</v>
      </c>
      <c r="B25" s="102" t="s">
        <v>44</v>
      </c>
      <c r="C25" s="18"/>
      <c r="D25" s="18"/>
      <c r="E25" s="122">
        <f>1055+1678-2418+923</f>
        <v>1238</v>
      </c>
      <c r="F25" s="122">
        <v>923</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1" t="s">
        <v>45</v>
      </c>
      <c r="B26" s="102" t="s">
        <v>46</v>
      </c>
      <c r="C26" s="18"/>
      <c r="D26" s="18"/>
      <c r="E26" s="122"/>
      <c r="F26" s="122"/>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1" t="s">
        <v>47</v>
      </c>
      <c r="B27" s="102" t="s">
        <v>48</v>
      </c>
      <c r="C27" s="18">
        <v>19606000</v>
      </c>
      <c r="D27" s="18">
        <v>9782000</v>
      </c>
      <c r="E27" s="122">
        <f>1653770.52+1626706.01+1746607.1+1841509.03</f>
        <v>6868592.6600000011</v>
      </c>
      <c r="F27" s="122">
        <v>1841509.03</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100" t="s">
        <v>49</v>
      </c>
      <c r="B28" s="17" t="s">
        <v>50</v>
      </c>
      <c r="C28" s="18">
        <f t="shared" ref="C28:F28" si="7">C29+C35+C51+C36+C37+C38+C39+C40+C41+C42+C43+C44+C45+C46+C47+C48+C49+C50</f>
        <v>462745000</v>
      </c>
      <c r="D28" s="18">
        <f t="shared" si="7"/>
        <v>252440000</v>
      </c>
      <c r="E28" s="18">
        <f t="shared" si="7"/>
        <v>121221069.5</v>
      </c>
      <c r="F28" s="18">
        <f t="shared" si="7"/>
        <v>33071307</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100" t="s">
        <v>51</v>
      </c>
      <c r="B29" s="17" t="s">
        <v>52</v>
      </c>
      <c r="C29" s="18">
        <f t="shared" ref="C29:F29" si="8">C30+C31+C32+C33+C34</f>
        <v>449309000</v>
      </c>
      <c r="D29" s="18">
        <f t="shared" si="8"/>
        <v>242424000</v>
      </c>
      <c r="E29" s="18">
        <f t="shared" si="8"/>
        <v>117780975</v>
      </c>
      <c r="F29" s="18">
        <f t="shared" si="8"/>
        <v>32092165</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1" t="s">
        <v>53</v>
      </c>
      <c r="B30" s="20" t="s">
        <v>54</v>
      </c>
      <c r="C30" s="18">
        <v>449309000</v>
      </c>
      <c r="D30" s="18">
        <v>242424000</v>
      </c>
      <c r="E30" s="122">
        <f>29303527+28285352+31060348+32029465</f>
        <v>120678692</v>
      </c>
      <c r="F30" s="122">
        <v>32029465</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1" t="s">
        <v>55</v>
      </c>
      <c r="B31" s="104" t="s">
        <v>56</v>
      </c>
      <c r="C31" s="18"/>
      <c r="D31" s="18"/>
      <c r="E31" s="122">
        <f>6013+6197-15615+11387</f>
        <v>7982</v>
      </c>
      <c r="F31" s="122">
        <v>11387</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1" t="s">
        <v>57</v>
      </c>
      <c r="B32" s="20" t="s">
        <v>58</v>
      </c>
      <c r="C32" s="18"/>
      <c r="D32" s="18"/>
      <c r="E32" s="122"/>
      <c r="F32" s="122"/>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1" t="s">
        <v>59</v>
      </c>
      <c r="B33" s="20" t="s">
        <v>60</v>
      </c>
      <c r="C33" s="18"/>
      <c r="D33" s="18"/>
      <c r="E33" s="122">
        <f>1389+58098-3016499+51313</f>
        <v>-2905699</v>
      </c>
      <c r="F33" s="122">
        <v>51313</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1" t="s">
        <v>61</v>
      </c>
      <c r="B34" s="20" t="s">
        <v>62</v>
      </c>
      <c r="C34" s="18"/>
      <c r="D34" s="18"/>
      <c r="E34" s="122"/>
      <c r="F34" s="122"/>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1" t="s">
        <v>63</v>
      </c>
      <c r="B35" s="20" t="s">
        <v>64</v>
      </c>
      <c r="C35" s="18"/>
      <c r="D35" s="18"/>
      <c r="E35" s="122"/>
      <c r="F35" s="122"/>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1" t="s">
        <v>65</v>
      </c>
      <c r="B36" s="105" t="s">
        <v>66</v>
      </c>
      <c r="C36" s="18"/>
      <c r="D36" s="18"/>
      <c r="E36" s="122"/>
      <c r="F36" s="122"/>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1" t="s">
        <v>67</v>
      </c>
      <c r="B37" s="20" t="s">
        <v>68</v>
      </c>
      <c r="C37" s="18">
        <v>10000</v>
      </c>
      <c r="D37" s="18">
        <v>7000</v>
      </c>
      <c r="E37" s="122">
        <f>7808+2406+2642+2778</f>
        <v>15634</v>
      </c>
      <c r="F37" s="122">
        <v>2778</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1" t="s">
        <v>69</v>
      </c>
      <c r="B38" s="20" t="s">
        <v>70</v>
      </c>
      <c r="C38" s="18"/>
      <c r="D38" s="18"/>
      <c r="E38" s="122">
        <v>42</v>
      </c>
      <c r="F38" s="122">
        <v>0</v>
      </c>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1" t="s">
        <v>71</v>
      </c>
      <c r="B39" s="20" t="s">
        <v>72</v>
      </c>
      <c r="C39" s="18"/>
      <c r="D39" s="18"/>
      <c r="E39" s="122"/>
      <c r="F39" s="122"/>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1" t="s">
        <v>73</v>
      </c>
      <c r="B40" s="20" t="s">
        <v>74</v>
      </c>
      <c r="C40" s="18"/>
      <c r="D40" s="18"/>
      <c r="E40" s="122"/>
      <c r="F40" s="122"/>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1" t="s">
        <v>75</v>
      </c>
      <c r="B41" s="20" t="s">
        <v>76</v>
      </c>
      <c r="C41" s="18"/>
      <c r="D41" s="18"/>
      <c r="E41" s="122"/>
      <c r="F41" s="122"/>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1" t="s">
        <v>77</v>
      </c>
      <c r="B42" s="20" t="s">
        <v>78</v>
      </c>
      <c r="C42" s="18"/>
      <c r="D42" s="18"/>
      <c r="E42" s="122"/>
      <c r="F42" s="122"/>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1" t="s">
        <v>79</v>
      </c>
      <c r="B43" s="20" t="s">
        <v>80</v>
      </c>
      <c r="C43" s="18">
        <v>1000</v>
      </c>
      <c r="D43" s="18"/>
      <c r="E43" s="122"/>
      <c r="F43" s="122"/>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1" t="s">
        <v>81</v>
      </c>
      <c r="B44" s="20" t="s">
        <v>82</v>
      </c>
      <c r="C44" s="18"/>
      <c r="D44" s="18"/>
      <c r="E44" s="122">
        <f>92-1969+2600+72</f>
        <v>795</v>
      </c>
      <c r="F44" s="122">
        <v>72</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1" t="s">
        <v>83</v>
      </c>
      <c r="B45" s="20" t="s">
        <v>84</v>
      </c>
      <c r="C45" s="18"/>
      <c r="D45" s="18"/>
      <c r="E45" s="122">
        <f>32881-198-126644-5</f>
        <v>-93966</v>
      </c>
      <c r="F45" s="122">
        <v>-5</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1" t="s">
        <v>85</v>
      </c>
      <c r="B46" s="20" t="s">
        <v>86</v>
      </c>
      <c r="C46" s="18">
        <v>96000</v>
      </c>
      <c r="D46" s="18">
        <v>49000</v>
      </c>
      <c r="E46" s="122">
        <f>14251+12183+17642+11465</f>
        <v>55541</v>
      </c>
      <c r="F46" s="122">
        <v>11465</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6" t="s">
        <v>87</v>
      </c>
      <c r="B47" s="22" t="s">
        <v>88</v>
      </c>
      <c r="C47" s="18"/>
      <c r="D47" s="18"/>
      <c r="E47" s="122"/>
      <c r="F47" s="122"/>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6" t="s">
        <v>89</v>
      </c>
      <c r="B48" s="22" t="s">
        <v>90</v>
      </c>
      <c r="C48" s="18"/>
      <c r="D48" s="18"/>
      <c r="E48" s="122"/>
      <c r="F48" s="122"/>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6" t="s">
        <v>91</v>
      </c>
      <c r="B49" s="22" t="s">
        <v>92</v>
      </c>
      <c r="C49" s="18">
        <v>253000</v>
      </c>
      <c r="D49" s="18">
        <v>126000</v>
      </c>
      <c r="E49" s="122">
        <f>24212+29070+30315+40266</f>
        <v>123863</v>
      </c>
      <c r="F49" s="122">
        <v>40266</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6" t="s">
        <v>93</v>
      </c>
      <c r="B50" s="22" t="s">
        <v>94</v>
      </c>
      <c r="C50" s="18">
        <v>13076000</v>
      </c>
      <c r="D50" s="18">
        <v>9834000</v>
      </c>
      <c r="E50" s="122">
        <f>509632.5+691925+1212062+924566</f>
        <v>3338185.5</v>
      </c>
      <c r="F50" s="122">
        <v>924566</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1" t="s">
        <v>95</v>
      </c>
      <c r="B51" s="20" t="s">
        <v>96</v>
      </c>
      <c r="C51" s="18"/>
      <c r="D51" s="18"/>
      <c r="E51" s="122"/>
      <c r="F51" s="122"/>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100" t="s">
        <v>97</v>
      </c>
      <c r="B52" s="17" t="s">
        <v>98</v>
      </c>
      <c r="C52" s="18">
        <f t="shared" ref="C52:F52" si="9">+C53+C58</f>
        <v>623000</v>
      </c>
      <c r="D52" s="18">
        <f t="shared" si="9"/>
        <v>173000</v>
      </c>
      <c r="E52" s="18">
        <f t="shared" si="9"/>
        <v>107390.97</v>
      </c>
      <c r="F52" s="18">
        <f t="shared" si="9"/>
        <v>22860.400000000001</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100"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100"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1" t="s">
        <v>103</v>
      </c>
      <c r="B55" s="20" t="s">
        <v>104</v>
      </c>
      <c r="C55" s="18"/>
      <c r="D55" s="18"/>
      <c r="E55" s="122"/>
      <c r="F55" s="122"/>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100"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1" t="s">
        <v>107</v>
      </c>
      <c r="B57" s="20" t="s">
        <v>108</v>
      </c>
      <c r="C57" s="18"/>
      <c r="D57" s="18"/>
      <c r="E57" s="122"/>
      <c r="F57" s="122"/>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7" t="s">
        <v>109</v>
      </c>
      <c r="B58" s="17" t="s">
        <v>110</v>
      </c>
      <c r="C58" s="18">
        <f t="shared" ref="C58:F58" si="13">+C59+C64</f>
        <v>623000</v>
      </c>
      <c r="D58" s="18">
        <f t="shared" si="13"/>
        <v>173000</v>
      </c>
      <c r="E58" s="18">
        <f t="shared" si="13"/>
        <v>107390.97</v>
      </c>
      <c r="F58" s="18">
        <f t="shared" si="13"/>
        <v>22860.400000000001</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100" t="s">
        <v>111</v>
      </c>
      <c r="B59" s="17" t="s">
        <v>112</v>
      </c>
      <c r="C59" s="18">
        <f t="shared" ref="C59:F59" si="14">C63+C61+C62+C60</f>
        <v>623000</v>
      </c>
      <c r="D59" s="18">
        <f t="shared" si="14"/>
        <v>173000</v>
      </c>
      <c r="E59" s="18">
        <f t="shared" si="14"/>
        <v>107390.97</v>
      </c>
      <c r="F59" s="18">
        <f t="shared" si="14"/>
        <v>22860.400000000001</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100" t="s">
        <v>113</v>
      </c>
      <c r="B60" s="17" t="s">
        <v>114</v>
      </c>
      <c r="C60" s="18">
        <v>108000</v>
      </c>
      <c r="D60" s="18">
        <v>28000</v>
      </c>
      <c r="E60" s="18">
        <f>14116+4359</f>
        <v>18475</v>
      </c>
      <c r="F60" s="18">
        <v>0</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v>0</v>
      </c>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1" t="s">
        <v>119</v>
      </c>
      <c r="B63" s="26" t="s">
        <v>120</v>
      </c>
      <c r="C63" s="18">
        <v>515000</v>
      </c>
      <c r="D63" s="18">
        <v>145000</v>
      </c>
      <c r="E63" s="122">
        <f>24649.06+34135.01+11181.5+22860.4</f>
        <v>92825.97</v>
      </c>
      <c r="F63" s="122">
        <v>22860.400000000001</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100"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1" t="s">
        <v>123</v>
      </c>
      <c r="B65" s="26" t="s">
        <v>124</v>
      </c>
      <c r="C65" s="18"/>
      <c r="D65" s="18"/>
      <c r="E65" s="122"/>
      <c r="F65" s="122"/>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100" t="s">
        <v>125</v>
      </c>
      <c r="B66" s="17" t="s">
        <v>126</v>
      </c>
      <c r="C66" s="18">
        <f t="shared" ref="C66:F66" si="16">+C67</f>
        <v>56421840</v>
      </c>
      <c r="D66" s="18">
        <f t="shared" si="16"/>
        <v>56421840</v>
      </c>
      <c r="E66" s="18">
        <f t="shared" si="16"/>
        <v>56229091</v>
      </c>
      <c r="F66" s="18">
        <f t="shared" si="16"/>
        <v>0</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100" t="s">
        <v>127</v>
      </c>
      <c r="B67" s="17" t="s">
        <v>128</v>
      </c>
      <c r="C67" s="18">
        <f t="shared" ref="C67:F67" si="17">+C68+C81</f>
        <v>56421840</v>
      </c>
      <c r="D67" s="18">
        <f t="shared" si="17"/>
        <v>56421840</v>
      </c>
      <c r="E67" s="18">
        <f t="shared" si="17"/>
        <v>56229091</v>
      </c>
      <c r="F67" s="18">
        <f t="shared" si="17"/>
        <v>0</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100" t="s">
        <v>129</v>
      </c>
      <c r="B68" s="17" t="s">
        <v>130</v>
      </c>
      <c r="C68" s="18">
        <f t="shared" ref="C68:F68" si="18">C69+C70+C71+C72+C74+C75+C76+C77+C73+C78+C79+C80</f>
        <v>56421840</v>
      </c>
      <c r="D68" s="18">
        <f t="shared" si="18"/>
        <v>56421840</v>
      </c>
      <c r="E68" s="18">
        <f t="shared" si="18"/>
        <v>56229091</v>
      </c>
      <c r="F68" s="18">
        <f t="shared" si="18"/>
        <v>0</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1" t="s">
        <v>131</v>
      </c>
      <c r="B69" s="26" t="s">
        <v>132</v>
      </c>
      <c r="C69" s="18"/>
      <c r="D69" s="18"/>
      <c r="E69" s="122"/>
      <c r="F69" s="122"/>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1" t="s">
        <v>133</v>
      </c>
      <c r="B70" s="26" t="s">
        <v>134</v>
      </c>
      <c r="C70" s="18"/>
      <c r="D70" s="18"/>
      <c r="E70" s="122"/>
      <c r="F70" s="122"/>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8" t="s">
        <v>135</v>
      </c>
      <c r="B71" s="26" t="s">
        <v>136</v>
      </c>
      <c r="C71" s="18">
        <v>47560720</v>
      </c>
      <c r="D71" s="18">
        <v>47560720</v>
      </c>
      <c r="E71" s="122">
        <v>47560720</v>
      </c>
      <c r="F71" s="122">
        <v>0</v>
      </c>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1" t="s">
        <v>137</v>
      </c>
      <c r="B72" s="27" t="s">
        <v>138</v>
      </c>
      <c r="C72" s="18"/>
      <c r="D72" s="18"/>
      <c r="E72" s="122">
        <f>-104296-88453</f>
        <v>-192749</v>
      </c>
      <c r="F72" s="122">
        <v>0</v>
      </c>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1" t="s">
        <v>139</v>
      </c>
      <c r="B73" s="27" t="s">
        <v>140</v>
      </c>
      <c r="C73" s="18"/>
      <c r="D73" s="18"/>
      <c r="E73" s="122"/>
      <c r="F73" s="122"/>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1" t="s">
        <v>141</v>
      </c>
      <c r="B74" s="27" t="s">
        <v>142</v>
      </c>
      <c r="C74" s="18"/>
      <c r="D74" s="18"/>
      <c r="E74" s="122"/>
      <c r="F74" s="122"/>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1" t="s">
        <v>143</v>
      </c>
      <c r="B75" s="27" t="s">
        <v>144</v>
      </c>
      <c r="C75" s="18"/>
      <c r="D75" s="18"/>
      <c r="E75" s="122"/>
      <c r="F75" s="122"/>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1" t="s">
        <v>145</v>
      </c>
      <c r="B76" s="27" t="s">
        <v>146</v>
      </c>
      <c r="C76" s="18"/>
      <c r="D76" s="18"/>
      <c r="E76" s="122"/>
      <c r="F76" s="122"/>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1" t="s">
        <v>147</v>
      </c>
      <c r="B77" s="27" t="s">
        <v>148</v>
      </c>
      <c r="C77" s="18"/>
      <c r="D77" s="18"/>
      <c r="E77" s="122"/>
      <c r="F77" s="122"/>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1" t="s">
        <v>149</v>
      </c>
      <c r="B78" s="27" t="s">
        <v>150</v>
      </c>
      <c r="C78" s="18">
        <v>3742080</v>
      </c>
      <c r="D78" s="18">
        <v>3742080</v>
      </c>
      <c r="E78" s="122">
        <v>3742080</v>
      </c>
      <c r="F78" s="122">
        <v>0</v>
      </c>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1" t="s">
        <v>151</v>
      </c>
      <c r="B79" s="27" t="s">
        <v>152</v>
      </c>
      <c r="C79" s="18"/>
      <c r="D79" s="18"/>
      <c r="E79" s="122"/>
      <c r="F79" s="122"/>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1" t="s">
        <v>153</v>
      </c>
      <c r="B80" s="27" t="s">
        <v>154</v>
      </c>
      <c r="C80" s="18">
        <v>5119040</v>
      </c>
      <c r="D80" s="18">
        <v>5119040</v>
      </c>
      <c r="E80" s="122">
        <v>5119040</v>
      </c>
      <c r="F80" s="122">
        <v>0</v>
      </c>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100"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1" t="s">
        <v>157</v>
      </c>
      <c r="B82" s="20" t="s">
        <v>158</v>
      </c>
      <c r="C82" s="18"/>
      <c r="D82" s="18"/>
      <c r="E82" s="122"/>
      <c r="F82" s="122"/>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1" t="s">
        <v>159</v>
      </c>
      <c r="B83" s="28" t="s">
        <v>138</v>
      </c>
      <c r="C83" s="18"/>
      <c r="D83" s="18"/>
      <c r="E83" s="122"/>
      <c r="F83" s="122"/>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1" t="s">
        <v>160</v>
      </c>
      <c r="B84" s="20" t="s">
        <v>161</v>
      </c>
      <c r="C84" s="18"/>
      <c r="D84" s="18"/>
      <c r="E84" s="122"/>
      <c r="F84" s="122"/>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1" t="s">
        <v>162</v>
      </c>
      <c r="B85" s="20" t="s">
        <v>163</v>
      </c>
      <c r="C85" s="18"/>
      <c r="D85" s="18"/>
      <c r="E85" s="122"/>
      <c r="F85" s="122"/>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1" t="s">
        <v>164</v>
      </c>
      <c r="B86" s="20" t="s">
        <v>142</v>
      </c>
      <c r="C86" s="18"/>
      <c r="D86" s="18"/>
      <c r="E86" s="122"/>
      <c r="F86" s="122"/>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5" t="s">
        <v>165</v>
      </c>
      <c r="B87" s="29" t="s">
        <v>166</v>
      </c>
      <c r="C87" s="18"/>
      <c r="D87" s="18"/>
      <c r="E87" s="122"/>
      <c r="F87" s="122"/>
      <c r="H87" s="31"/>
      <c r="AT87" s="31"/>
      <c r="BT87" s="31"/>
      <c r="BU87" s="31"/>
      <c r="BV87" s="31"/>
      <c r="CN87" s="31"/>
    </row>
    <row r="88" spans="1:165" ht="63.75">
      <c r="A88" s="20" t="s">
        <v>167</v>
      </c>
      <c r="B88" s="30" t="s">
        <v>168</v>
      </c>
      <c r="C88" s="18"/>
      <c r="D88" s="18"/>
      <c r="E88" s="122"/>
      <c r="F88" s="122"/>
      <c r="H88" s="31"/>
      <c r="BT88" s="31"/>
      <c r="BU88" s="31"/>
      <c r="BV88" s="31"/>
      <c r="CN88" s="31"/>
    </row>
    <row r="89" spans="1:165" ht="25.5">
      <c r="A89" s="20" t="s">
        <v>169</v>
      </c>
      <c r="B89" s="32" t="s">
        <v>170</v>
      </c>
      <c r="C89" s="18"/>
      <c r="D89" s="18"/>
      <c r="E89" s="122"/>
      <c r="F89" s="122"/>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22"/>
      <c r="F94" s="122"/>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22"/>
      <c r="F97" s="122"/>
      <c r="G97" s="31"/>
      <c r="H97" s="31"/>
      <c r="I97" s="31"/>
      <c r="J97" s="31"/>
      <c r="BT97" s="31"/>
      <c r="BU97" s="31"/>
      <c r="BV97" s="31"/>
      <c r="CN97" s="31"/>
    </row>
    <row r="98" spans="1:92">
      <c r="A98" s="20" t="s">
        <v>185</v>
      </c>
      <c r="B98" s="32" t="s">
        <v>186</v>
      </c>
      <c r="C98" s="18"/>
      <c r="D98" s="18"/>
      <c r="E98" s="122"/>
      <c r="F98" s="122"/>
      <c r="G98" s="31"/>
      <c r="H98" s="31"/>
      <c r="I98" s="31"/>
      <c r="J98" s="31"/>
      <c r="BT98" s="31"/>
      <c r="BU98" s="31"/>
      <c r="BV98" s="31"/>
      <c r="CN98" s="31"/>
    </row>
    <row r="99" spans="1:92">
      <c r="A99" s="20" t="s">
        <v>187</v>
      </c>
      <c r="B99" s="33" t="s">
        <v>518</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22"/>
      <c r="F100" s="122"/>
      <c r="G100" s="31"/>
      <c r="H100" s="31"/>
      <c r="I100" s="31"/>
      <c r="J100" s="31"/>
      <c r="BT100" s="31"/>
      <c r="BU100" s="31"/>
      <c r="BV100" s="31"/>
      <c r="CN100" s="31"/>
    </row>
    <row r="101" spans="1:92">
      <c r="A101" s="20" t="s">
        <v>189</v>
      </c>
      <c r="B101" s="32" t="s">
        <v>186</v>
      </c>
      <c r="C101" s="18"/>
      <c r="D101" s="18"/>
      <c r="E101" s="122"/>
      <c r="F101" s="122"/>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22"/>
      <c r="F109" s="21"/>
      <c r="CN109" s="31"/>
    </row>
    <row r="110" spans="1:92" ht="12" customHeight="1">
      <c r="A110" s="35" t="s">
        <v>204</v>
      </c>
      <c r="B110" s="35" t="s">
        <v>205</v>
      </c>
      <c r="C110" s="21">
        <f t="shared" ref="C110:F110" si="29">C111</f>
        <v>0</v>
      </c>
      <c r="D110" s="21">
        <f t="shared" si="29"/>
        <v>0</v>
      </c>
      <c r="E110" s="21">
        <f t="shared" si="29"/>
        <v>-506284</v>
      </c>
      <c r="F110" s="21">
        <f t="shared" si="29"/>
        <v>-398246</v>
      </c>
      <c r="CN110" s="31"/>
    </row>
    <row r="111" spans="1:92" ht="25.5">
      <c r="A111" s="20" t="s">
        <v>206</v>
      </c>
      <c r="B111" s="20" t="s">
        <v>207</v>
      </c>
      <c r="C111" s="18"/>
      <c r="D111" s="18"/>
      <c r="E111" s="122">
        <f>-1063509+874783+80688-398246</f>
        <v>-506284</v>
      </c>
      <c r="F111" s="122">
        <v>-398246</v>
      </c>
      <c r="CN111" s="31"/>
    </row>
    <row r="112" spans="1:92">
      <c r="CN112" s="31"/>
    </row>
    <row r="113" spans="2:92">
      <c r="CN113" s="31"/>
    </row>
    <row r="114" spans="2:92">
      <c r="B114" s="11" t="s">
        <v>522</v>
      </c>
      <c r="D114" s="40" t="s">
        <v>524</v>
      </c>
      <c r="CN114" s="31"/>
    </row>
    <row r="115" spans="2:92">
      <c r="CN115" s="31"/>
    </row>
    <row r="116" spans="2:92">
      <c r="B116" s="11" t="s">
        <v>521</v>
      </c>
      <c r="D116" s="40" t="s">
        <v>523</v>
      </c>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63:F63 E87:F89 C58:F58 C66:F67 C81:F81 E94:F94 E97:F98 E100:F101 E17:F23 E55:F55 E25:F27 E30:F51 E71:F80"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T294"/>
  <sheetViews>
    <sheetView tabSelected="1" workbookViewId="0">
      <pane xSplit="3" ySplit="6" topLeftCell="D7" activePane="bottomRight" state="frozen"/>
      <selection activeCell="G7" sqref="G7:H290"/>
      <selection pane="topRight" activeCell="G7" sqref="G7:H290"/>
      <selection pane="bottomLeft" activeCell="G7" sqref="G7:H290"/>
      <selection pane="bottomRight" activeCell="G7" sqref="G7"/>
    </sheetView>
  </sheetViews>
  <sheetFormatPr defaultRowHeight="15"/>
  <cols>
    <col min="1" max="1" width="14.42578125" style="41" customWidth="1"/>
    <col min="2" max="2" width="68.42578125" style="43" customWidth="1"/>
    <col min="3" max="3" width="7" style="43" hidden="1" customWidth="1"/>
    <col min="4" max="4" width="16.5703125" style="43" customWidth="1"/>
    <col min="5" max="5" width="15.42578125" style="43" customWidth="1"/>
    <col min="6" max="6" width="15.7109375" style="43" bestFit="1"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10" t="s">
        <v>525</v>
      </c>
      <c r="C1" s="42"/>
    </row>
    <row r="2" spans="1:11">
      <c r="B2" s="42" t="s">
        <v>520</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2">
        <f t="shared" ref="C7:H7" si="0">+C8+C16</f>
        <v>0</v>
      </c>
      <c r="D7" s="112">
        <f t="shared" si="0"/>
        <v>676258080</v>
      </c>
      <c r="E7" s="112">
        <f t="shared" si="0"/>
        <v>669178070</v>
      </c>
      <c r="F7" s="112">
        <f t="shared" si="0"/>
        <v>547052420</v>
      </c>
      <c r="G7" s="112">
        <f t="shared" si="0"/>
        <v>360095443.13</v>
      </c>
      <c r="H7" s="112">
        <f t="shared" si="0"/>
        <v>85800288.839999989</v>
      </c>
      <c r="I7" s="60"/>
      <c r="J7" s="60"/>
      <c r="K7" s="60"/>
    </row>
    <row r="8" spans="1:11" s="61" customFormat="1">
      <c r="A8" s="57" t="s">
        <v>216</v>
      </c>
      <c r="B8" s="62" t="s">
        <v>217</v>
      </c>
      <c r="C8" s="113">
        <f>+C9+C10+C13+C11+C12+C15+C250+C14</f>
        <v>0</v>
      </c>
      <c r="D8" s="113">
        <f t="shared" ref="D8:H8" si="1">+D9+D10+D13+D11+D12+D15+D250+D14</f>
        <v>674788080</v>
      </c>
      <c r="E8" s="113">
        <f t="shared" si="1"/>
        <v>667708070</v>
      </c>
      <c r="F8" s="113">
        <f t="shared" si="1"/>
        <v>546312420</v>
      </c>
      <c r="G8" s="113">
        <f t="shared" si="1"/>
        <v>359995813.07999998</v>
      </c>
      <c r="H8" s="113">
        <f t="shared" si="1"/>
        <v>85800288.839999989</v>
      </c>
      <c r="I8" s="60"/>
      <c r="J8" s="60"/>
      <c r="K8" s="60"/>
    </row>
    <row r="9" spans="1:11" s="61" customFormat="1">
      <c r="A9" s="57" t="s">
        <v>218</v>
      </c>
      <c r="B9" s="62" t="s">
        <v>219</v>
      </c>
      <c r="C9" s="113">
        <f t="shared" ref="C9:H9" si="2">+C23</f>
        <v>0</v>
      </c>
      <c r="D9" s="113">
        <f t="shared" si="2"/>
        <v>6082000</v>
      </c>
      <c r="E9" s="113">
        <f t="shared" si="2"/>
        <v>6082000</v>
      </c>
      <c r="F9" s="113">
        <f t="shared" si="2"/>
        <v>3080880</v>
      </c>
      <c r="G9" s="113">
        <f t="shared" si="2"/>
        <v>2025894</v>
      </c>
      <c r="H9" s="113">
        <f t="shared" si="2"/>
        <v>574438</v>
      </c>
      <c r="I9" s="60"/>
      <c r="J9" s="60"/>
      <c r="K9" s="60"/>
    </row>
    <row r="10" spans="1:11" s="61" customFormat="1" ht="16.5" customHeight="1">
      <c r="A10" s="57" t="s">
        <v>220</v>
      </c>
      <c r="B10" s="62" t="s">
        <v>221</v>
      </c>
      <c r="C10" s="113">
        <f>+C43</f>
        <v>0</v>
      </c>
      <c r="D10" s="113">
        <f t="shared" ref="D10:H10" si="3">+D43</f>
        <v>364562460</v>
      </c>
      <c r="E10" s="113">
        <f t="shared" si="3"/>
        <v>357482450</v>
      </c>
      <c r="F10" s="113">
        <f t="shared" si="3"/>
        <v>352298560</v>
      </c>
      <c r="G10" s="113">
        <f t="shared" si="3"/>
        <v>225818880.76000002</v>
      </c>
      <c r="H10" s="113">
        <f t="shared" si="3"/>
        <v>53039553.089999989</v>
      </c>
      <c r="I10" s="60"/>
      <c r="J10" s="60"/>
      <c r="K10" s="60"/>
    </row>
    <row r="11" spans="1:11" s="61" customFormat="1">
      <c r="A11" s="57" t="s">
        <v>222</v>
      </c>
      <c r="B11" s="62" t="s">
        <v>223</v>
      </c>
      <c r="C11" s="113">
        <f>+C71</f>
        <v>0</v>
      </c>
      <c r="D11" s="113">
        <f t="shared" ref="D11:H11" si="4">+D71</f>
        <v>0</v>
      </c>
      <c r="E11" s="113">
        <f t="shared" si="4"/>
        <v>0</v>
      </c>
      <c r="F11" s="113">
        <f t="shared" si="4"/>
        <v>0</v>
      </c>
      <c r="G11" s="113">
        <f t="shared" si="4"/>
        <v>0</v>
      </c>
      <c r="H11" s="113">
        <f t="shared" si="4"/>
        <v>0</v>
      </c>
      <c r="I11" s="60"/>
      <c r="J11" s="60"/>
      <c r="K11" s="60"/>
    </row>
    <row r="12" spans="1:11" s="61" customFormat="1" ht="30">
      <c r="A12" s="57" t="s">
        <v>224</v>
      </c>
      <c r="B12" s="62" t="s">
        <v>225</v>
      </c>
      <c r="C12" s="113">
        <f>C251</f>
        <v>0</v>
      </c>
      <c r="D12" s="113">
        <f t="shared" ref="D12:H12" si="5">D251</f>
        <v>269732620</v>
      </c>
      <c r="E12" s="113">
        <f t="shared" si="5"/>
        <v>269732620</v>
      </c>
      <c r="F12" s="113">
        <f t="shared" si="5"/>
        <v>164475280</v>
      </c>
      <c r="G12" s="113">
        <f t="shared" si="5"/>
        <v>109856554</v>
      </c>
      <c r="H12" s="113">
        <f t="shared" si="5"/>
        <v>27306300</v>
      </c>
      <c r="I12" s="60"/>
      <c r="J12" s="60"/>
      <c r="K12" s="60"/>
    </row>
    <row r="13" spans="1:11" s="61" customFormat="1" ht="16.5" customHeight="1">
      <c r="A13" s="57" t="s">
        <v>226</v>
      </c>
      <c r="B13" s="62" t="s">
        <v>227</v>
      </c>
      <c r="C13" s="113">
        <f>C264</f>
        <v>0</v>
      </c>
      <c r="D13" s="113">
        <f t="shared" ref="D13:H13" si="6">D264</f>
        <v>34402000</v>
      </c>
      <c r="E13" s="113">
        <f t="shared" si="6"/>
        <v>34402000</v>
      </c>
      <c r="F13" s="113">
        <f t="shared" si="6"/>
        <v>26453000</v>
      </c>
      <c r="G13" s="113">
        <f t="shared" si="6"/>
        <v>22540433</v>
      </c>
      <c r="H13" s="113">
        <f t="shared" si="6"/>
        <v>4985695</v>
      </c>
      <c r="I13" s="60"/>
      <c r="J13" s="60"/>
      <c r="K13" s="60"/>
    </row>
    <row r="14" spans="1:11" s="61" customFormat="1" ht="30">
      <c r="A14" s="57" t="s">
        <v>228</v>
      </c>
      <c r="B14" s="62" t="s">
        <v>229</v>
      </c>
      <c r="C14" s="113">
        <f>C271</f>
        <v>0</v>
      </c>
      <c r="D14" s="113">
        <f t="shared" ref="D14:H14" si="7">D271</f>
        <v>0</v>
      </c>
      <c r="E14" s="113">
        <f t="shared" si="7"/>
        <v>0</v>
      </c>
      <c r="F14" s="113">
        <f t="shared" si="7"/>
        <v>0</v>
      </c>
      <c r="G14" s="113">
        <f t="shared" si="7"/>
        <v>0</v>
      </c>
      <c r="H14" s="113">
        <f t="shared" si="7"/>
        <v>0</v>
      </c>
      <c r="I14" s="60"/>
      <c r="J14" s="60"/>
      <c r="K14" s="60"/>
    </row>
    <row r="15" spans="1:11" s="61" customFormat="1" ht="16.5" customHeight="1">
      <c r="A15" s="57" t="s">
        <v>230</v>
      </c>
      <c r="B15" s="62" t="s">
        <v>231</v>
      </c>
      <c r="C15" s="113">
        <f>C74</f>
        <v>0</v>
      </c>
      <c r="D15" s="113">
        <f t="shared" ref="D15:H15" si="8">D74</f>
        <v>9000</v>
      </c>
      <c r="E15" s="113">
        <f t="shared" si="8"/>
        <v>9000</v>
      </c>
      <c r="F15" s="113">
        <f t="shared" si="8"/>
        <v>4700</v>
      </c>
      <c r="G15" s="113">
        <f t="shared" si="8"/>
        <v>2241</v>
      </c>
      <c r="H15" s="113">
        <f t="shared" si="8"/>
        <v>660</v>
      </c>
      <c r="I15" s="60"/>
      <c r="J15" s="60"/>
      <c r="K15" s="60"/>
    </row>
    <row r="16" spans="1:11" s="61" customFormat="1" ht="16.5" customHeight="1">
      <c r="A16" s="57" t="s">
        <v>232</v>
      </c>
      <c r="B16" s="62" t="s">
        <v>233</v>
      </c>
      <c r="C16" s="113">
        <f>C77</f>
        <v>0</v>
      </c>
      <c r="D16" s="113">
        <f t="shared" ref="D16:H16" si="9">D77</f>
        <v>1470000</v>
      </c>
      <c r="E16" s="113">
        <f t="shared" si="9"/>
        <v>1470000</v>
      </c>
      <c r="F16" s="113">
        <f t="shared" si="9"/>
        <v>740000</v>
      </c>
      <c r="G16" s="113">
        <f t="shared" si="9"/>
        <v>99630.05</v>
      </c>
      <c r="H16" s="113">
        <f t="shared" si="9"/>
        <v>0</v>
      </c>
      <c r="I16" s="60"/>
      <c r="J16" s="60"/>
      <c r="K16" s="60"/>
    </row>
    <row r="17" spans="1:247" s="61" customFormat="1">
      <c r="A17" s="57" t="s">
        <v>234</v>
      </c>
      <c r="B17" s="62" t="s">
        <v>235</v>
      </c>
      <c r="C17" s="113">
        <f>C78</f>
        <v>0</v>
      </c>
      <c r="D17" s="113">
        <f t="shared" ref="D17:H17" si="10">D78</f>
        <v>1470000</v>
      </c>
      <c r="E17" s="113">
        <f t="shared" si="10"/>
        <v>1470000</v>
      </c>
      <c r="F17" s="113">
        <f t="shared" si="10"/>
        <v>740000</v>
      </c>
      <c r="G17" s="113">
        <f t="shared" si="10"/>
        <v>99630.05</v>
      </c>
      <c r="H17" s="113">
        <f t="shared" si="10"/>
        <v>0</v>
      </c>
      <c r="I17" s="60"/>
      <c r="J17" s="60"/>
      <c r="K17" s="60"/>
    </row>
    <row r="18" spans="1:247" s="61" customFormat="1" ht="30">
      <c r="A18" s="57" t="s">
        <v>236</v>
      </c>
      <c r="B18" s="62" t="s">
        <v>237</v>
      </c>
      <c r="C18" s="113">
        <f>C250+C270</f>
        <v>0</v>
      </c>
      <c r="D18" s="113">
        <f t="shared" ref="D18:H18" si="11">D250+D270</f>
        <v>0</v>
      </c>
      <c r="E18" s="113">
        <f t="shared" si="11"/>
        <v>0</v>
      </c>
      <c r="F18" s="113">
        <f t="shared" si="11"/>
        <v>0</v>
      </c>
      <c r="G18" s="113">
        <f t="shared" si="11"/>
        <v>-248189.68</v>
      </c>
      <c r="H18" s="113">
        <f t="shared" si="11"/>
        <v>-106357.25</v>
      </c>
      <c r="I18" s="60"/>
      <c r="J18" s="60"/>
      <c r="K18" s="60"/>
    </row>
    <row r="19" spans="1:247" s="61" customFormat="1" ht="16.5" customHeight="1">
      <c r="A19" s="57" t="s">
        <v>238</v>
      </c>
      <c r="B19" s="62" t="s">
        <v>239</v>
      </c>
      <c r="C19" s="113">
        <f t="shared" ref="C19:H19" si="12">+C20+C16</f>
        <v>0</v>
      </c>
      <c r="D19" s="113">
        <f t="shared" si="12"/>
        <v>676258080</v>
      </c>
      <c r="E19" s="113">
        <f t="shared" si="12"/>
        <v>669178070</v>
      </c>
      <c r="F19" s="113">
        <f t="shared" si="12"/>
        <v>547052420</v>
      </c>
      <c r="G19" s="113">
        <f t="shared" si="12"/>
        <v>360095443.13</v>
      </c>
      <c r="H19" s="113">
        <f t="shared" si="12"/>
        <v>85800288.839999989</v>
      </c>
      <c r="I19" s="60"/>
      <c r="J19" s="60"/>
      <c r="K19" s="60"/>
    </row>
    <row r="20" spans="1:247" s="61" customFormat="1">
      <c r="A20" s="57" t="s">
        <v>240</v>
      </c>
      <c r="B20" s="62" t="s">
        <v>217</v>
      </c>
      <c r="C20" s="113">
        <f>C9+C10+C11+C12+C13+C15+C250+C14</f>
        <v>0</v>
      </c>
      <c r="D20" s="113">
        <f t="shared" ref="D20:H20" si="13">D9+D10+D11+D12+D13+D15+D250+D14</f>
        <v>674788080</v>
      </c>
      <c r="E20" s="113">
        <f t="shared" si="13"/>
        <v>667708070</v>
      </c>
      <c r="F20" s="113">
        <f t="shared" si="13"/>
        <v>546312420</v>
      </c>
      <c r="G20" s="113">
        <f t="shared" si="13"/>
        <v>359995813.07999998</v>
      </c>
      <c r="H20" s="113">
        <f t="shared" si="13"/>
        <v>85800288.839999989</v>
      </c>
      <c r="I20" s="60"/>
      <c r="J20" s="60"/>
      <c r="K20" s="60"/>
    </row>
    <row r="21" spans="1:247" s="61" customFormat="1" ht="16.5" customHeight="1">
      <c r="A21" s="63" t="s">
        <v>241</v>
      </c>
      <c r="B21" s="62" t="s">
        <v>242</v>
      </c>
      <c r="C21" s="113">
        <f>+C22+C77+C250</f>
        <v>0</v>
      </c>
      <c r="D21" s="113">
        <f t="shared" ref="D21:H21" si="14">+D22+D77+D250</f>
        <v>641856080</v>
      </c>
      <c r="E21" s="113">
        <f t="shared" si="14"/>
        <v>634776070</v>
      </c>
      <c r="F21" s="113">
        <f t="shared" si="14"/>
        <v>520599420</v>
      </c>
      <c r="G21" s="113">
        <f t="shared" si="14"/>
        <v>337555010.13</v>
      </c>
      <c r="H21" s="113">
        <f t="shared" si="14"/>
        <v>80814593.839999989</v>
      </c>
      <c r="I21" s="60"/>
      <c r="J21" s="60"/>
      <c r="K21" s="60"/>
    </row>
    <row r="22" spans="1:247" s="61" customFormat="1" ht="16.5" customHeight="1">
      <c r="A22" s="57" t="s">
        <v>243</v>
      </c>
      <c r="B22" s="62" t="s">
        <v>217</v>
      </c>
      <c r="C22" s="113">
        <f>+C23+C43+C71+C251+C74+C271</f>
        <v>0</v>
      </c>
      <c r="D22" s="113">
        <f t="shared" ref="D22:H22" si="15">+D23+D43+D71+D251+D74+D271</f>
        <v>640386080</v>
      </c>
      <c r="E22" s="113">
        <f t="shared" si="15"/>
        <v>633306070</v>
      </c>
      <c r="F22" s="113">
        <f t="shared" si="15"/>
        <v>519859420</v>
      </c>
      <c r="G22" s="113">
        <f t="shared" si="15"/>
        <v>337703569.75999999</v>
      </c>
      <c r="H22" s="113">
        <f t="shared" si="15"/>
        <v>80920951.089999989</v>
      </c>
      <c r="I22" s="60"/>
      <c r="J22" s="60"/>
      <c r="K22" s="60"/>
    </row>
    <row r="23" spans="1:247" s="61" customFormat="1">
      <c r="A23" s="57" t="s">
        <v>244</v>
      </c>
      <c r="B23" s="62" t="s">
        <v>219</v>
      </c>
      <c r="C23" s="113">
        <f t="shared" ref="C23:H23" si="16">+C24+C36+C34</f>
        <v>0</v>
      </c>
      <c r="D23" s="113">
        <f t="shared" si="16"/>
        <v>6082000</v>
      </c>
      <c r="E23" s="113">
        <f t="shared" si="16"/>
        <v>6082000</v>
      </c>
      <c r="F23" s="113">
        <f t="shared" si="16"/>
        <v>3080880</v>
      </c>
      <c r="G23" s="113">
        <f t="shared" si="16"/>
        <v>2025894</v>
      </c>
      <c r="H23" s="113">
        <f t="shared" si="16"/>
        <v>574438</v>
      </c>
      <c r="I23" s="60"/>
      <c r="J23" s="60"/>
      <c r="K23" s="60"/>
    </row>
    <row r="24" spans="1:247" s="61" customFormat="1" ht="16.5" customHeight="1">
      <c r="A24" s="57" t="s">
        <v>245</v>
      </c>
      <c r="B24" s="62" t="s">
        <v>246</v>
      </c>
      <c r="C24" s="113">
        <f t="shared" ref="C24:H24" si="17">C25+C28+C29+C30+C32+C26+C27+C31</f>
        <v>0</v>
      </c>
      <c r="D24" s="113">
        <f t="shared" si="17"/>
        <v>5866000</v>
      </c>
      <c r="E24" s="113">
        <f t="shared" si="17"/>
        <v>5866000</v>
      </c>
      <c r="F24" s="113">
        <f t="shared" si="17"/>
        <v>2930960</v>
      </c>
      <c r="G24" s="113">
        <f t="shared" si="17"/>
        <v>1901727</v>
      </c>
      <c r="H24" s="113">
        <f t="shared" si="17"/>
        <v>482240</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4"/>
      <c r="D25" s="59">
        <v>4814000</v>
      </c>
      <c r="E25" s="59">
        <v>4814000</v>
      </c>
      <c r="F25" s="59">
        <v>2389750</v>
      </c>
      <c r="G25" s="66">
        <f>765976+393455+388544</f>
        <v>1547975</v>
      </c>
      <c r="H25" s="89">
        <v>388544</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4"/>
      <c r="D26" s="59">
        <v>631000</v>
      </c>
      <c r="E26" s="59">
        <v>631000</v>
      </c>
      <c r="F26" s="59">
        <v>330000</v>
      </c>
      <c r="G26" s="66">
        <f>108345+54156+53576</f>
        <v>216077</v>
      </c>
      <c r="H26" s="89">
        <v>53576</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4"/>
      <c r="D27" s="59">
        <v>25000</v>
      </c>
      <c r="E27" s="59">
        <v>25000</v>
      </c>
      <c r="F27" s="59">
        <v>14200</v>
      </c>
      <c r="G27" s="66">
        <f>4515+2412+2275</f>
        <v>9202</v>
      </c>
      <c r="H27" s="89">
        <v>2275</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7" t="s">
        <v>254</v>
      </c>
      <c r="C28" s="114"/>
      <c r="D28" s="59">
        <v>11000</v>
      </c>
      <c r="E28" s="59">
        <v>11000</v>
      </c>
      <c r="F28" s="59">
        <v>6500</v>
      </c>
      <c r="G28" s="66">
        <f>1628+1040+888</f>
        <v>3556</v>
      </c>
      <c r="H28" s="89">
        <v>888</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7" t="s">
        <v>256</v>
      </c>
      <c r="C29" s="114"/>
      <c r="D29" s="59">
        <v>2000</v>
      </c>
      <c r="E29" s="59">
        <v>2000</v>
      </c>
      <c r="F29" s="59">
        <v>1010</v>
      </c>
      <c r="G29" s="66">
        <f>270+560</f>
        <v>830</v>
      </c>
      <c r="H29" s="66">
        <v>560</v>
      </c>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7" t="s">
        <v>258</v>
      </c>
      <c r="C30" s="114"/>
      <c r="D30" s="59"/>
      <c r="E30" s="59"/>
      <c r="F30" s="59"/>
      <c r="G30" s="66"/>
      <c r="H30" s="89"/>
      <c r="I30" s="60"/>
      <c r="J30" s="60"/>
      <c r="K30" s="60"/>
    </row>
    <row r="31" spans="1:247" ht="16.5" customHeight="1">
      <c r="A31" s="64" t="s">
        <v>259</v>
      </c>
      <c r="B31" s="67" t="s">
        <v>260</v>
      </c>
      <c r="C31" s="114"/>
      <c r="D31" s="59">
        <v>203000</v>
      </c>
      <c r="E31" s="59">
        <v>203000</v>
      </c>
      <c r="F31" s="59">
        <v>108000</v>
      </c>
      <c r="G31" s="66">
        <f>34758+17384+17187</f>
        <v>69329</v>
      </c>
      <c r="H31" s="89">
        <v>17187</v>
      </c>
      <c r="I31" s="60"/>
      <c r="J31" s="60"/>
      <c r="K31" s="60"/>
    </row>
    <row r="32" spans="1:247" ht="16.5" customHeight="1">
      <c r="A32" s="64" t="s">
        <v>261</v>
      </c>
      <c r="B32" s="67" t="s">
        <v>262</v>
      </c>
      <c r="C32" s="114"/>
      <c r="D32" s="59">
        <v>180000</v>
      </c>
      <c r="E32" s="59">
        <v>180000</v>
      </c>
      <c r="F32" s="59">
        <v>81500</v>
      </c>
      <c r="G32" s="66">
        <f>22392+13156+19210</f>
        <v>54758</v>
      </c>
      <c r="H32" s="89">
        <v>19210</v>
      </c>
      <c r="I32" s="60"/>
      <c r="J32" s="60"/>
      <c r="K32" s="60"/>
    </row>
    <row r="33" spans="1:247" ht="16.5" customHeight="1">
      <c r="A33" s="64"/>
      <c r="B33" s="67" t="s">
        <v>263</v>
      </c>
      <c r="C33" s="114"/>
      <c r="D33" s="59"/>
      <c r="E33" s="59"/>
      <c r="F33" s="59"/>
      <c r="G33" s="66"/>
      <c r="H33" s="89"/>
      <c r="I33" s="60"/>
      <c r="J33" s="60"/>
      <c r="K33" s="60"/>
    </row>
    <row r="34" spans="1:247" ht="16.5" customHeight="1">
      <c r="A34" s="64" t="s">
        <v>264</v>
      </c>
      <c r="B34" s="62" t="s">
        <v>265</v>
      </c>
      <c r="C34" s="114">
        <f t="shared" ref="C34:H34" si="18">C35</f>
        <v>0</v>
      </c>
      <c r="D34" s="114">
        <f t="shared" si="18"/>
        <v>84000</v>
      </c>
      <c r="E34" s="114">
        <f t="shared" si="18"/>
        <v>84000</v>
      </c>
      <c r="F34" s="114">
        <f t="shared" si="18"/>
        <v>84000</v>
      </c>
      <c r="G34" s="114">
        <f t="shared" si="18"/>
        <v>81200</v>
      </c>
      <c r="H34" s="114">
        <f t="shared" si="18"/>
        <v>81200</v>
      </c>
      <c r="I34" s="60"/>
      <c r="J34" s="60"/>
      <c r="K34" s="60"/>
    </row>
    <row r="35" spans="1:247" ht="16.5" customHeight="1">
      <c r="A35" s="64" t="s">
        <v>266</v>
      </c>
      <c r="B35" s="67" t="s">
        <v>267</v>
      </c>
      <c r="C35" s="114"/>
      <c r="D35" s="59">
        <v>84000</v>
      </c>
      <c r="E35" s="59">
        <v>84000</v>
      </c>
      <c r="F35" s="59">
        <v>84000</v>
      </c>
      <c r="G35" s="66">
        <v>81200</v>
      </c>
      <c r="H35" s="66">
        <v>81200</v>
      </c>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3">
        <f>+C37+C38+C39+C40+C41+C42</f>
        <v>0</v>
      </c>
      <c r="D36" s="113">
        <f t="shared" ref="D36:H36" si="19">+D37+D38+D39+D40+D41+D42</f>
        <v>132000</v>
      </c>
      <c r="E36" s="113">
        <f t="shared" si="19"/>
        <v>132000</v>
      </c>
      <c r="F36" s="113">
        <f t="shared" ref="F36" si="20">+F37+F38+F39+F40+F41+F42</f>
        <v>65920</v>
      </c>
      <c r="G36" s="113">
        <f t="shared" si="19"/>
        <v>42967</v>
      </c>
      <c r="H36" s="113">
        <f t="shared" si="19"/>
        <v>10998</v>
      </c>
      <c r="I36" s="60"/>
      <c r="J36" s="60"/>
      <c r="K36" s="60"/>
      <c r="L36" s="61"/>
    </row>
    <row r="37" spans="1:247" ht="16.5" customHeight="1">
      <c r="A37" s="64" t="s">
        <v>270</v>
      </c>
      <c r="B37" s="67" t="s">
        <v>271</v>
      </c>
      <c r="C37" s="114"/>
      <c r="D37" s="59"/>
      <c r="E37" s="59"/>
      <c r="F37" s="59"/>
      <c r="G37" s="66"/>
      <c r="H37" s="89"/>
      <c r="I37" s="60"/>
      <c r="J37" s="60"/>
      <c r="K37" s="60"/>
    </row>
    <row r="38" spans="1:247" ht="16.5" customHeight="1">
      <c r="A38" s="64" t="s">
        <v>272</v>
      </c>
      <c r="B38" s="67" t="s">
        <v>273</v>
      </c>
      <c r="C38" s="114"/>
      <c r="D38" s="59"/>
      <c r="E38" s="59"/>
      <c r="F38" s="59"/>
      <c r="G38" s="66"/>
      <c r="H38" s="89"/>
      <c r="I38" s="60"/>
      <c r="J38" s="60"/>
      <c r="K38" s="60"/>
    </row>
    <row r="39" spans="1:247" s="61" customFormat="1" ht="16.5" customHeight="1">
      <c r="A39" s="64" t="s">
        <v>274</v>
      </c>
      <c r="B39" s="67" t="s">
        <v>275</v>
      </c>
      <c r="C39" s="114"/>
      <c r="D39" s="59"/>
      <c r="E39" s="59"/>
      <c r="F39" s="59"/>
      <c r="G39" s="66"/>
      <c r="H39" s="89"/>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8" t="s">
        <v>277</v>
      </c>
      <c r="C40" s="114"/>
      <c r="D40" s="59"/>
      <c r="E40" s="59"/>
      <c r="F40" s="59"/>
      <c r="G40" s="66"/>
      <c r="H40" s="89"/>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8" t="s">
        <v>42</v>
      </c>
      <c r="C41" s="114"/>
      <c r="D41" s="59"/>
      <c r="E41" s="59"/>
      <c r="F41" s="59"/>
      <c r="G41" s="66"/>
      <c r="H41" s="89"/>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8" t="s">
        <v>280</v>
      </c>
      <c r="C42" s="114"/>
      <c r="D42" s="59">
        <v>132000</v>
      </c>
      <c r="E42" s="59">
        <v>132000</v>
      </c>
      <c r="F42" s="59">
        <v>65920</v>
      </c>
      <c r="G42" s="66">
        <f>21236+10733+10998</f>
        <v>42967</v>
      </c>
      <c r="H42" s="89">
        <v>10998</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3">
        <f t="shared" ref="C43:H43" si="21">+C44+C58+C57+C60+C63+C65+C66+C68+C64+C67</f>
        <v>0</v>
      </c>
      <c r="D43" s="113">
        <f t="shared" si="21"/>
        <v>364562460</v>
      </c>
      <c r="E43" s="113">
        <f t="shared" si="21"/>
        <v>357482450</v>
      </c>
      <c r="F43" s="113">
        <f t="shared" si="21"/>
        <v>352298560</v>
      </c>
      <c r="G43" s="113">
        <f t="shared" si="21"/>
        <v>225818880.76000002</v>
      </c>
      <c r="H43" s="113">
        <f t="shared" si="21"/>
        <v>53039553.089999989</v>
      </c>
      <c r="I43" s="60"/>
      <c r="J43" s="60"/>
      <c r="K43" s="60"/>
      <c r="L43" s="61"/>
    </row>
    <row r="44" spans="1:247" ht="16.5" customHeight="1">
      <c r="A44" s="57" t="s">
        <v>282</v>
      </c>
      <c r="B44" s="62" t="s">
        <v>283</v>
      </c>
      <c r="C44" s="113">
        <f t="shared" ref="C44:H44" si="22">+C45+C46+C47+C48+C49+C50+C51+C52+C54</f>
        <v>0</v>
      </c>
      <c r="D44" s="113">
        <f t="shared" si="22"/>
        <v>363932460</v>
      </c>
      <c r="E44" s="113">
        <f t="shared" si="22"/>
        <v>356852450</v>
      </c>
      <c r="F44" s="113">
        <f t="shared" si="22"/>
        <v>351987560</v>
      </c>
      <c r="G44" s="113">
        <f t="shared" si="22"/>
        <v>225817293.71000001</v>
      </c>
      <c r="H44" s="113">
        <f t="shared" si="22"/>
        <v>53039956.36999999</v>
      </c>
      <c r="I44" s="60"/>
      <c r="J44" s="60"/>
      <c r="K44" s="60"/>
    </row>
    <row r="45" spans="1:247" s="61" customFormat="1" ht="16.5" customHeight="1">
      <c r="A45" s="64" t="s">
        <v>284</v>
      </c>
      <c r="B45" s="67" t="s">
        <v>285</v>
      </c>
      <c r="C45" s="114"/>
      <c r="D45" s="59">
        <v>86000</v>
      </c>
      <c r="E45" s="59">
        <v>86000</v>
      </c>
      <c r="F45" s="59">
        <v>48750</v>
      </c>
      <c r="G45" s="89">
        <f>13432.03+12317.97+11903.11</f>
        <v>37653.11</v>
      </c>
      <c r="H45" s="89">
        <v>11903.11</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7" t="s">
        <v>287</v>
      </c>
      <c r="C46" s="114"/>
      <c r="D46" s="59"/>
      <c r="E46" s="59"/>
      <c r="F46" s="59"/>
      <c r="G46" s="89"/>
      <c r="H46" s="89"/>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7" t="s">
        <v>289</v>
      </c>
      <c r="C47" s="114"/>
      <c r="D47" s="59">
        <v>139000</v>
      </c>
      <c r="E47" s="59">
        <v>139000</v>
      </c>
      <c r="F47" s="59">
        <v>85000</v>
      </c>
      <c r="G47" s="89">
        <f>40000+13242.05+18666.71</f>
        <v>71908.760000000009</v>
      </c>
      <c r="H47" s="89">
        <v>18666.71</v>
      </c>
      <c r="I47" s="60"/>
      <c r="J47" s="60"/>
      <c r="K47" s="60"/>
    </row>
    <row r="48" spans="1:247" ht="16.5" customHeight="1">
      <c r="A48" s="64" t="s">
        <v>290</v>
      </c>
      <c r="B48" s="67" t="s">
        <v>291</v>
      </c>
      <c r="C48" s="114"/>
      <c r="D48" s="59">
        <v>18000</v>
      </c>
      <c r="E48" s="59">
        <v>18000</v>
      </c>
      <c r="F48" s="59">
        <v>10500</v>
      </c>
      <c r="G48" s="89">
        <f>3887.83+2112.17+3415.71</f>
        <v>9415.7099999999991</v>
      </c>
      <c r="H48" s="89">
        <v>3415.71</v>
      </c>
      <c r="I48" s="60"/>
      <c r="J48" s="60"/>
      <c r="K48" s="60"/>
    </row>
    <row r="49" spans="1:247" ht="16.5" customHeight="1">
      <c r="A49" s="64" t="s">
        <v>292</v>
      </c>
      <c r="B49" s="67" t="s">
        <v>293</v>
      </c>
      <c r="C49" s="114"/>
      <c r="D49" s="59">
        <v>12000</v>
      </c>
      <c r="E49" s="59">
        <v>12000</v>
      </c>
      <c r="F49" s="59">
        <v>4500</v>
      </c>
      <c r="G49" s="89">
        <v>2650</v>
      </c>
      <c r="H49" s="89">
        <v>150</v>
      </c>
      <c r="I49" s="60"/>
      <c r="J49" s="60"/>
      <c r="K49" s="60"/>
    </row>
    <row r="50" spans="1:247" ht="16.5" customHeight="1">
      <c r="A50" s="64" t="s">
        <v>294</v>
      </c>
      <c r="B50" s="67" t="s">
        <v>295</v>
      </c>
      <c r="C50" s="114"/>
      <c r="D50" s="59">
        <v>5000</v>
      </c>
      <c r="E50" s="59">
        <v>5000</v>
      </c>
      <c r="F50" s="59">
        <v>1500</v>
      </c>
      <c r="G50" s="89"/>
      <c r="H50" s="89"/>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7" t="s">
        <v>297</v>
      </c>
      <c r="C51" s="114"/>
      <c r="D51" s="59">
        <v>81000</v>
      </c>
      <c r="E51" s="59">
        <v>81000</v>
      </c>
      <c r="F51" s="59">
        <v>43000</v>
      </c>
      <c r="G51" s="89">
        <f>15145.66+7854.34+8410.45</f>
        <v>31410.45</v>
      </c>
      <c r="H51" s="89">
        <v>8410.4500000000007</v>
      </c>
      <c r="I51" s="60"/>
      <c r="J51" s="60"/>
      <c r="K51" s="60"/>
      <c r="L51" s="61"/>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row>
    <row r="52" spans="1:247" ht="16.5" customHeight="1">
      <c r="A52" s="57" t="s">
        <v>298</v>
      </c>
      <c r="B52" s="62" t="s">
        <v>299</v>
      </c>
      <c r="C52" s="115">
        <f t="shared" ref="C52:H52" si="23">+C53+C88</f>
        <v>0</v>
      </c>
      <c r="D52" s="115">
        <f t="shared" si="23"/>
        <v>363537460</v>
      </c>
      <c r="E52" s="115">
        <f t="shared" si="23"/>
        <v>356457450</v>
      </c>
      <c r="F52" s="115">
        <f t="shared" si="23"/>
        <v>351769810</v>
      </c>
      <c r="G52" s="115">
        <f t="shared" si="23"/>
        <v>225648931.04000002</v>
      </c>
      <c r="H52" s="115">
        <f t="shared" si="23"/>
        <v>52993077.599999994</v>
      </c>
      <c r="I52" s="60"/>
      <c r="J52" s="60"/>
      <c r="K52" s="60"/>
      <c r="L52" s="69"/>
    </row>
    <row r="53" spans="1:247" ht="16.5" customHeight="1">
      <c r="A53" s="70" t="s">
        <v>300</v>
      </c>
      <c r="B53" s="71" t="s">
        <v>301</v>
      </c>
      <c r="C53" s="116"/>
      <c r="D53" s="59">
        <v>550000</v>
      </c>
      <c r="E53" s="59">
        <v>550000</v>
      </c>
      <c r="F53" s="59">
        <v>257000</v>
      </c>
      <c r="G53" s="89">
        <f>79050.5+40449.5+31941.69</f>
        <v>151441.69</v>
      </c>
      <c r="H53" s="89">
        <v>31941.69</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7" t="s">
        <v>303</v>
      </c>
      <c r="C54" s="114"/>
      <c r="D54" s="59">
        <v>54000</v>
      </c>
      <c r="E54" s="59">
        <v>54000</v>
      </c>
      <c r="F54" s="59">
        <v>24500</v>
      </c>
      <c r="G54" s="89">
        <f>6659.06+4332.79+4332.79</f>
        <v>15324.64</v>
      </c>
      <c r="H54" s="89">
        <v>4332.79</v>
      </c>
      <c r="I54" s="60"/>
      <c r="J54" s="60"/>
      <c r="K54" s="60"/>
    </row>
    <row r="55" spans="1:247" s="69" customFormat="1" ht="16.5" customHeight="1">
      <c r="A55" s="64"/>
      <c r="B55" s="67" t="s">
        <v>304</v>
      </c>
      <c r="C55" s="114"/>
      <c r="D55" s="59"/>
      <c r="E55" s="59"/>
      <c r="F55" s="59"/>
      <c r="G55" s="89"/>
      <c r="H55" s="89"/>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7" t="s">
        <v>305</v>
      </c>
      <c r="C56" s="114"/>
      <c r="D56" s="59">
        <v>54000</v>
      </c>
      <c r="E56" s="59">
        <v>54000</v>
      </c>
      <c r="F56" s="59">
        <v>24500</v>
      </c>
      <c r="G56" s="89">
        <f>10991.85+4332.79</f>
        <v>15324.64</v>
      </c>
      <c r="H56" s="89">
        <v>4332.79</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7" t="s">
        <v>307</v>
      </c>
      <c r="C57" s="114"/>
      <c r="D57" s="59">
        <v>600000</v>
      </c>
      <c r="E57" s="59">
        <v>600000</v>
      </c>
      <c r="F57" s="59">
        <v>300000</v>
      </c>
      <c r="G57" s="89"/>
      <c r="H57" s="89"/>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7">
        <f t="shared" ref="C58:H58" si="24">+C59</f>
        <v>0</v>
      </c>
      <c r="D58" s="117">
        <f t="shared" si="24"/>
        <v>18000</v>
      </c>
      <c r="E58" s="117">
        <f t="shared" si="24"/>
        <v>18000</v>
      </c>
      <c r="F58" s="117">
        <f t="shared" si="24"/>
        <v>6000</v>
      </c>
      <c r="G58" s="117">
        <f t="shared" si="24"/>
        <v>0</v>
      </c>
      <c r="H58" s="117">
        <f t="shared" si="24"/>
        <v>0</v>
      </c>
      <c r="I58" s="60"/>
      <c r="J58" s="60"/>
      <c r="K58" s="60"/>
      <c r="L58" s="44"/>
    </row>
    <row r="59" spans="1:247" s="61" customFormat="1" ht="16.5" customHeight="1">
      <c r="A59" s="64" t="s">
        <v>310</v>
      </c>
      <c r="B59" s="67" t="s">
        <v>311</v>
      </c>
      <c r="C59" s="114"/>
      <c r="D59" s="59">
        <v>18000</v>
      </c>
      <c r="E59" s="59">
        <v>18000</v>
      </c>
      <c r="F59" s="59">
        <v>6000</v>
      </c>
      <c r="G59" s="89"/>
      <c r="H59" s="89"/>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3">
        <f t="shared" ref="C60:H60" si="25">+C61+C62</f>
        <v>0</v>
      </c>
      <c r="D60" s="113">
        <f t="shared" si="25"/>
        <v>7000</v>
      </c>
      <c r="E60" s="113">
        <f t="shared" si="25"/>
        <v>7000</v>
      </c>
      <c r="F60" s="113">
        <f t="shared" ref="F60" si="26">+F61+F62</f>
        <v>3750</v>
      </c>
      <c r="G60" s="113">
        <f t="shared" si="25"/>
        <v>1587.05</v>
      </c>
      <c r="H60" s="113">
        <f t="shared" si="25"/>
        <v>-403.28</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7" t="s">
        <v>315</v>
      </c>
      <c r="C61" s="114"/>
      <c r="D61" s="59">
        <v>7000</v>
      </c>
      <c r="E61" s="59">
        <v>7000</v>
      </c>
      <c r="F61" s="59">
        <v>3750</v>
      </c>
      <c r="G61" s="89">
        <f>1990.33-403.28</f>
        <v>1587.05</v>
      </c>
      <c r="H61" s="89">
        <v>-403.28</v>
      </c>
      <c r="I61" s="60"/>
      <c r="J61" s="60"/>
      <c r="K61" s="60"/>
    </row>
    <row r="62" spans="1:247" s="61" customFormat="1" ht="16.5" customHeight="1">
      <c r="A62" s="57" t="s">
        <v>316</v>
      </c>
      <c r="B62" s="67" t="s">
        <v>317</v>
      </c>
      <c r="C62" s="114"/>
      <c r="D62" s="59"/>
      <c r="E62" s="59"/>
      <c r="F62" s="59"/>
      <c r="G62" s="89"/>
      <c r="H62" s="89"/>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7" t="s">
        <v>319</v>
      </c>
      <c r="C63" s="114"/>
      <c r="D63" s="59">
        <v>1000</v>
      </c>
      <c r="E63" s="59">
        <v>1000</v>
      </c>
      <c r="F63" s="59">
        <v>250</v>
      </c>
      <c r="G63" s="89"/>
      <c r="H63" s="89"/>
      <c r="I63" s="60"/>
      <c r="J63" s="60"/>
      <c r="K63" s="60"/>
    </row>
    <row r="64" spans="1:247" ht="16.5" customHeight="1">
      <c r="A64" s="64" t="s">
        <v>320</v>
      </c>
      <c r="B64" s="65" t="s">
        <v>321</v>
      </c>
      <c r="C64" s="114"/>
      <c r="D64" s="59"/>
      <c r="E64" s="59"/>
      <c r="F64" s="59"/>
      <c r="G64" s="89"/>
      <c r="H64" s="89"/>
      <c r="I64" s="60"/>
      <c r="J64" s="60"/>
      <c r="K64" s="60"/>
    </row>
    <row r="65" spans="1:247" ht="16.5" customHeight="1">
      <c r="A65" s="64" t="s">
        <v>322</v>
      </c>
      <c r="B65" s="67" t="s">
        <v>323</v>
      </c>
      <c r="C65" s="114"/>
      <c r="D65" s="59"/>
      <c r="E65" s="59"/>
      <c r="F65" s="59"/>
      <c r="G65" s="89"/>
      <c r="H65" s="89"/>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7" t="s">
        <v>325</v>
      </c>
      <c r="C66" s="114"/>
      <c r="D66" s="59">
        <v>4000</v>
      </c>
      <c r="E66" s="59">
        <v>4000</v>
      </c>
      <c r="F66" s="59">
        <v>1000</v>
      </c>
      <c r="G66" s="89"/>
      <c r="H66" s="89"/>
      <c r="I66" s="60"/>
      <c r="J66" s="60"/>
      <c r="K66" s="60"/>
      <c r="L66" s="61"/>
    </row>
    <row r="67" spans="1:247" ht="30">
      <c r="A67" s="64" t="s">
        <v>326</v>
      </c>
      <c r="B67" s="67" t="s">
        <v>327</v>
      </c>
      <c r="C67" s="114"/>
      <c r="D67" s="59"/>
      <c r="E67" s="59"/>
      <c r="F67" s="59"/>
      <c r="G67" s="89"/>
      <c r="H67" s="89"/>
      <c r="I67" s="60"/>
      <c r="J67" s="60"/>
      <c r="K67" s="60"/>
      <c r="L67" s="61"/>
    </row>
    <row r="68" spans="1:247" ht="16.5" customHeight="1">
      <c r="A68" s="57" t="s">
        <v>328</v>
      </c>
      <c r="B68" s="62" t="s">
        <v>329</v>
      </c>
      <c r="C68" s="117">
        <f t="shared" ref="C68:H68" si="27">+C69+C70</f>
        <v>0</v>
      </c>
      <c r="D68" s="117">
        <f t="shared" si="27"/>
        <v>0</v>
      </c>
      <c r="E68" s="117">
        <f t="shared" si="27"/>
        <v>0</v>
      </c>
      <c r="F68" s="117">
        <f t="shared" si="27"/>
        <v>0</v>
      </c>
      <c r="G68" s="117">
        <f t="shared" si="27"/>
        <v>0</v>
      </c>
      <c r="H68" s="117">
        <f t="shared" si="27"/>
        <v>0</v>
      </c>
      <c r="I68" s="60"/>
      <c r="J68" s="60"/>
      <c r="K68" s="60"/>
    </row>
    <row r="69" spans="1:247" ht="16.5" customHeight="1">
      <c r="A69" s="64" t="s">
        <v>330</v>
      </c>
      <c r="B69" s="67" t="s">
        <v>331</v>
      </c>
      <c r="C69" s="114"/>
      <c r="D69" s="59"/>
      <c r="E69" s="59"/>
      <c r="F69" s="59"/>
      <c r="G69" s="89"/>
      <c r="H69" s="89"/>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7" t="s">
        <v>333</v>
      </c>
      <c r="C70" s="114"/>
      <c r="D70" s="59"/>
      <c r="E70" s="59"/>
      <c r="F70" s="59"/>
      <c r="G70" s="123"/>
      <c r="H70" s="123"/>
      <c r="I70" s="60"/>
      <c r="J70" s="60"/>
      <c r="K70" s="60"/>
    </row>
    <row r="71" spans="1:247" ht="16.5" customHeight="1">
      <c r="A71" s="57" t="s">
        <v>334</v>
      </c>
      <c r="B71" s="62" t="s">
        <v>223</v>
      </c>
      <c r="C71" s="112">
        <f>+C72</f>
        <v>0</v>
      </c>
      <c r="D71" s="112">
        <f t="shared" ref="D71:H72" si="28">+D72</f>
        <v>0</v>
      </c>
      <c r="E71" s="112">
        <f t="shared" si="28"/>
        <v>0</v>
      </c>
      <c r="F71" s="112">
        <f t="shared" si="28"/>
        <v>0</v>
      </c>
      <c r="G71" s="112">
        <f t="shared" si="28"/>
        <v>0</v>
      </c>
      <c r="H71" s="112">
        <f t="shared" si="28"/>
        <v>0</v>
      </c>
      <c r="I71" s="60"/>
      <c r="J71" s="60"/>
      <c r="K71" s="60"/>
      <c r="L71" s="61"/>
    </row>
    <row r="72" spans="1:247" ht="16.5" customHeight="1">
      <c r="A72" s="72" t="s">
        <v>335</v>
      </c>
      <c r="B72" s="62" t="s">
        <v>336</v>
      </c>
      <c r="C72" s="112">
        <f>+C73</f>
        <v>0</v>
      </c>
      <c r="D72" s="112">
        <f t="shared" si="28"/>
        <v>0</v>
      </c>
      <c r="E72" s="112">
        <f t="shared" si="28"/>
        <v>0</v>
      </c>
      <c r="F72" s="112">
        <f t="shared" si="28"/>
        <v>0</v>
      </c>
      <c r="G72" s="112">
        <f t="shared" si="28"/>
        <v>0</v>
      </c>
      <c r="H72" s="112">
        <f t="shared" si="28"/>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2" t="s">
        <v>337</v>
      </c>
      <c r="B73" s="67" t="s">
        <v>338</v>
      </c>
      <c r="C73" s="114"/>
      <c r="D73" s="59"/>
      <c r="E73" s="59"/>
      <c r="F73" s="59"/>
      <c r="G73" s="89"/>
      <c r="H73" s="89"/>
      <c r="I73" s="60"/>
      <c r="J73" s="60"/>
      <c r="K73" s="60"/>
    </row>
    <row r="74" spans="1:247" s="61" customFormat="1" ht="16.5" customHeight="1">
      <c r="A74" s="72" t="s">
        <v>339</v>
      </c>
      <c r="B74" s="73" t="s">
        <v>231</v>
      </c>
      <c r="C74" s="114">
        <f t="shared" ref="C74:H74" si="29">C75+C76</f>
        <v>0</v>
      </c>
      <c r="D74" s="114">
        <f t="shared" si="29"/>
        <v>9000</v>
      </c>
      <c r="E74" s="114">
        <f t="shared" si="29"/>
        <v>9000</v>
      </c>
      <c r="F74" s="114">
        <f t="shared" si="29"/>
        <v>4700</v>
      </c>
      <c r="G74" s="114">
        <f t="shared" si="29"/>
        <v>2241</v>
      </c>
      <c r="H74" s="114">
        <f t="shared" si="29"/>
        <v>660</v>
      </c>
      <c r="I74" s="60"/>
      <c r="J74" s="60"/>
      <c r="K74" s="60"/>
    </row>
    <row r="75" spans="1:247" s="61" customFormat="1" ht="16.5" customHeight="1">
      <c r="A75" s="72" t="s">
        <v>340</v>
      </c>
      <c r="B75" s="74" t="s">
        <v>341</v>
      </c>
      <c r="C75" s="114"/>
      <c r="D75" s="59"/>
      <c r="E75" s="59"/>
      <c r="F75" s="59"/>
      <c r="G75" s="89"/>
      <c r="H75" s="89"/>
      <c r="I75" s="60"/>
      <c r="J75" s="60"/>
      <c r="K75" s="60"/>
    </row>
    <row r="76" spans="1:247" ht="16.5" customHeight="1">
      <c r="A76" s="72" t="s">
        <v>342</v>
      </c>
      <c r="B76" s="74" t="s">
        <v>343</v>
      </c>
      <c r="C76" s="114"/>
      <c r="D76" s="59">
        <v>9000</v>
      </c>
      <c r="E76" s="59">
        <v>9000</v>
      </c>
      <c r="F76" s="59">
        <v>4700</v>
      </c>
      <c r="G76" s="89">
        <f>1101+480+660</f>
        <v>2241</v>
      </c>
      <c r="H76" s="89">
        <v>660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3">
        <f t="shared" ref="C77:H77" si="30">+C78</f>
        <v>0</v>
      </c>
      <c r="D77" s="113">
        <f t="shared" si="30"/>
        <v>1470000</v>
      </c>
      <c r="E77" s="113">
        <f t="shared" si="30"/>
        <v>1470000</v>
      </c>
      <c r="F77" s="113">
        <f t="shared" si="30"/>
        <v>740000</v>
      </c>
      <c r="G77" s="113">
        <f t="shared" si="30"/>
        <v>99630.05</v>
      </c>
      <c r="H77" s="113">
        <f t="shared" si="30"/>
        <v>0</v>
      </c>
      <c r="I77" s="60"/>
      <c r="J77" s="60"/>
      <c r="K77" s="60"/>
    </row>
    <row r="78" spans="1:247" s="61" customFormat="1" ht="16.5" customHeight="1">
      <c r="A78" s="57" t="s">
        <v>345</v>
      </c>
      <c r="B78" s="62" t="s">
        <v>235</v>
      </c>
      <c r="C78" s="113">
        <f t="shared" ref="C78:H78" si="31">+C79+C84</f>
        <v>0</v>
      </c>
      <c r="D78" s="113">
        <f t="shared" si="31"/>
        <v>1470000</v>
      </c>
      <c r="E78" s="113">
        <f t="shared" si="31"/>
        <v>1470000</v>
      </c>
      <c r="F78" s="113">
        <f t="shared" si="31"/>
        <v>740000</v>
      </c>
      <c r="G78" s="113">
        <f t="shared" si="31"/>
        <v>99630.05</v>
      </c>
      <c r="H78" s="113">
        <f t="shared" si="31"/>
        <v>0</v>
      </c>
      <c r="I78" s="60"/>
      <c r="J78" s="60"/>
      <c r="K78" s="60"/>
    </row>
    <row r="79" spans="1:247" s="61" customFormat="1" ht="16.5" customHeight="1">
      <c r="A79" s="57" t="s">
        <v>346</v>
      </c>
      <c r="B79" s="62" t="s">
        <v>347</v>
      </c>
      <c r="C79" s="113">
        <f t="shared" ref="C79:H79" si="32">+C81+C83+C82+C80</f>
        <v>0</v>
      </c>
      <c r="D79" s="113">
        <f t="shared" si="32"/>
        <v>140000</v>
      </c>
      <c r="E79" s="113">
        <f t="shared" si="32"/>
        <v>140000</v>
      </c>
      <c r="F79" s="113">
        <f t="shared" si="32"/>
        <v>140000</v>
      </c>
      <c r="G79" s="113">
        <f t="shared" si="32"/>
        <v>99630.05</v>
      </c>
      <c r="H79" s="113">
        <f t="shared" si="32"/>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3"/>
      <c r="D80" s="59"/>
      <c r="E80" s="59"/>
      <c r="F80" s="59"/>
      <c r="G80" s="89"/>
      <c r="H80" s="89"/>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7" t="s">
        <v>351</v>
      </c>
      <c r="C81" s="114"/>
      <c r="D81" s="59">
        <v>140000</v>
      </c>
      <c r="E81" s="59">
        <v>140000</v>
      </c>
      <c r="F81" s="59">
        <v>140000</v>
      </c>
      <c r="G81" s="89">
        <v>99630.05</v>
      </c>
      <c r="H81" s="89">
        <v>0</v>
      </c>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4"/>
      <c r="D82" s="59"/>
      <c r="E82" s="59"/>
      <c r="F82" s="59"/>
      <c r="G82" s="89"/>
      <c r="H82" s="89"/>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7" t="s">
        <v>355</v>
      </c>
      <c r="C83" s="114"/>
      <c r="D83" s="59"/>
      <c r="E83" s="59"/>
      <c r="F83" s="59"/>
      <c r="G83" s="89"/>
      <c r="H83" s="89"/>
      <c r="I83" s="60"/>
      <c r="J83" s="60"/>
      <c r="K83" s="60"/>
    </row>
    <row r="84" spans="1:247" ht="16.5" customHeight="1">
      <c r="A84" s="75" t="s">
        <v>356</v>
      </c>
      <c r="B84" s="65" t="s">
        <v>357</v>
      </c>
      <c r="C84" s="114"/>
      <c r="D84" s="59">
        <v>1330000</v>
      </c>
      <c r="E84" s="59">
        <v>1330000</v>
      </c>
      <c r="F84" s="59">
        <v>600000</v>
      </c>
      <c r="G84" s="89"/>
      <c r="H84" s="89"/>
      <c r="I84" s="60"/>
      <c r="J84" s="60"/>
      <c r="K84" s="60"/>
    </row>
    <row r="85" spans="1:247" ht="16.5" customHeight="1">
      <c r="A85" s="64" t="s">
        <v>243</v>
      </c>
      <c r="B85" s="67" t="s">
        <v>358</v>
      </c>
      <c r="C85" s="114"/>
      <c r="D85" s="59"/>
      <c r="E85" s="59"/>
      <c r="F85" s="59"/>
      <c r="G85" s="89"/>
      <c r="H85" s="89"/>
      <c r="I85" s="60"/>
      <c r="J85" s="60"/>
      <c r="K85" s="60"/>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row>
    <row r="86" spans="1:247" ht="16.5" customHeight="1">
      <c r="A86" s="64" t="s">
        <v>359</v>
      </c>
      <c r="B86" s="67" t="s">
        <v>360</v>
      </c>
      <c r="C86" s="112">
        <f>C43-C88+C9+C11+C12+C14+C15+C16-C85</f>
        <v>0</v>
      </c>
      <c r="D86" s="112">
        <f t="shared" ref="D86:H86" si="33">D43-D88+D9+D11+D12+D14+D15+D16-D85</f>
        <v>278868620</v>
      </c>
      <c r="E86" s="112">
        <f t="shared" si="33"/>
        <v>278868620</v>
      </c>
      <c r="F86" s="112">
        <f t="shared" si="33"/>
        <v>169086610</v>
      </c>
      <c r="G86" s="112">
        <f t="shared" si="33"/>
        <v>112305710.45999999</v>
      </c>
      <c r="H86" s="112">
        <f t="shared" si="33"/>
        <v>27959815.179999992</v>
      </c>
      <c r="I86" s="60"/>
      <c r="J86" s="60"/>
      <c r="K86" s="60"/>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row>
    <row r="87" spans="1:247" ht="16.5" customHeight="1">
      <c r="A87" s="64"/>
      <c r="B87" s="67" t="s">
        <v>361</v>
      </c>
      <c r="C87" s="112"/>
      <c r="D87" s="59"/>
      <c r="E87" s="59"/>
      <c r="F87" s="59"/>
      <c r="G87" s="124"/>
      <c r="H87" s="124"/>
      <c r="I87" s="60"/>
      <c r="J87" s="60"/>
      <c r="K87" s="60"/>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row>
    <row r="88" spans="1:247" ht="16.5" customHeight="1">
      <c r="A88" s="64" t="s">
        <v>362</v>
      </c>
      <c r="B88" s="62" t="s">
        <v>363</v>
      </c>
      <c r="C88" s="118">
        <f>+C89+C178+C217+C221+C246+C248</f>
        <v>0</v>
      </c>
      <c r="D88" s="118">
        <f t="shared" ref="D88:H88" si="34">+D89+D178+D217+D221+D246+D248</f>
        <v>362987460</v>
      </c>
      <c r="E88" s="118">
        <f t="shared" si="34"/>
        <v>355907450</v>
      </c>
      <c r="F88" s="118">
        <f t="shared" si="34"/>
        <v>351512810</v>
      </c>
      <c r="G88" s="118">
        <f t="shared" si="34"/>
        <v>225497489.35000002</v>
      </c>
      <c r="H88" s="118">
        <f t="shared" si="34"/>
        <v>52961135.909999996</v>
      </c>
      <c r="I88" s="60"/>
      <c r="J88" s="60"/>
      <c r="K88" s="60"/>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row>
    <row r="89" spans="1:247" s="69" customFormat="1" ht="16.5" customHeight="1">
      <c r="A89" s="57" t="s">
        <v>364</v>
      </c>
      <c r="B89" s="62" t="s">
        <v>365</v>
      </c>
      <c r="C89" s="113">
        <f>+C90+C106+C142+C170+C174</f>
        <v>0</v>
      </c>
      <c r="D89" s="113">
        <f t="shared" ref="D89:H89" si="35">+D90+D106+D142+D170+D174</f>
        <v>122845180</v>
      </c>
      <c r="E89" s="113">
        <f t="shared" si="35"/>
        <v>117265940</v>
      </c>
      <c r="F89" s="113">
        <f t="shared" si="35"/>
        <v>112871300</v>
      </c>
      <c r="G89" s="113">
        <f t="shared" si="35"/>
        <v>94395916.799999997</v>
      </c>
      <c r="H89" s="113">
        <f t="shared" si="35"/>
        <v>22997326.540000003</v>
      </c>
      <c r="I89" s="60"/>
      <c r="J89" s="60"/>
      <c r="K89" s="60"/>
    </row>
    <row r="90" spans="1:247" s="69" customFormat="1" ht="16.5" customHeight="1">
      <c r="A90" s="64" t="s">
        <v>366</v>
      </c>
      <c r="B90" s="62" t="s">
        <v>367</v>
      </c>
      <c r="C90" s="112">
        <f t="shared" ref="C90:H90" si="36">+C91+C103+C104+C94+C97+C92+C93</f>
        <v>0</v>
      </c>
      <c r="D90" s="112">
        <f t="shared" si="36"/>
        <v>52595160</v>
      </c>
      <c r="E90" s="112">
        <f t="shared" si="36"/>
        <v>44632660</v>
      </c>
      <c r="F90" s="112">
        <f t="shared" si="36"/>
        <v>44632660</v>
      </c>
      <c r="G90" s="112">
        <f t="shared" si="36"/>
        <v>42289834.099999994</v>
      </c>
      <c r="H90" s="112">
        <f t="shared" si="36"/>
        <v>11574894.290000001</v>
      </c>
      <c r="I90" s="60"/>
      <c r="J90" s="60"/>
      <c r="K90" s="60"/>
    </row>
    <row r="91" spans="1:247" s="69" customFormat="1" ht="16.5" customHeight="1">
      <c r="A91" s="64"/>
      <c r="B91" s="65" t="s">
        <v>368</v>
      </c>
      <c r="C91" s="114"/>
      <c r="D91" s="59">
        <v>46426000</v>
      </c>
      <c r="E91" s="59">
        <v>37535000</v>
      </c>
      <c r="F91" s="59">
        <v>37535000</v>
      </c>
      <c r="G91" s="89">
        <f>22106700+4811530+10616620</f>
        <v>37534850</v>
      </c>
      <c r="H91" s="89">
        <v>10616620</v>
      </c>
      <c r="I91" s="60"/>
      <c r="J91" s="60"/>
      <c r="K91" s="60"/>
    </row>
    <row r="92" spans="1:247" s="69" customFormat="1" ht="45">
      <c r="A92" s="64"/>
      <c r="B92" s="65" t="s">
        <v>369</v>
      </c>
      <c r="C92" s="114"/>
      <c r="D92" s="59">
        <v>300</v>
      </c>
      <c r="E92" s="59">
        <v>300</v>
      </c>
      <c r="F92" s="59">
        <v>300</v>
      </c>
      <c r="G92" s="89">
        <v>242.16</v>
      </c>
      <c r="H92" s="89">
        <v>0</v>
      </c>
      <c r="I92" s="60"/>
      <c r="J92" s="60"/>
      <c r="K92" s="60"/>
    </row>
    <row r="93" spans="1:247" s="69" customFormat="1" ht="60">
      <c r="A93" s="64"/>
      <c r="B93" s="65" t="s">
        <v>370</v>
      </c>
      <c r="C93" s="114"/>
      <c r="D93" s="59">
        <v>300</v>
      </c>
      <c r="E93" s="59">
        <v>300</v>
      </c>
      <c r="F93" s="59">
        <v>300</v>
      </c>
      <c r="G93" s="89">
        <v>273.64</v>
      </c>
      <c r="H93" s="89">
        <v>0</v>
      </c>
      <c r="I93" s="60"/>
      <c r="J93" s="60"/>
      <c r="K93" s="60"/>
    </row>
    <row r="94" spans="1:247" s="69" customFormat="1" ht="16.5" customHeight="1">
      <c r="A94" s="64"/>
      <c r="B94" s="65" t="s">
        <v>371</v>
      </c>
      <c r="C94" s="114">
        <f t="shared" ref="C94:H94" si="37">C95+C96</f>
        <v>0</v>
      </c>
      <c r="D94" s="114">
        <f t="shared" si="37"/>
        <v>0</v>
      </c>
      <c r="E94" s="114">
        <f t="shared" ref="E94" si="38">E95+E96</f>
        <v>0</v>
      </c>
      <c r="F94" s="114">
        <f t="shared" ref="F94" si="39">F95+F96</f>
        <v>0</v>
      </c>
      <c r="G94" s="114">
        <f t="shared" si="37"/>
        <v>0</v>
      </c>
      <c r="H94" s="114">
        <f t="shared" si="37"/>
        <v>0</v>
      </c>
      <c r="I94" s="60"/>
      <c r="J94" s="60"/>
      <c r="K94" s="60"/>
    </row>
    <row r="95" spans="1:247" s="69" customFormat="1" ht="16.5" customHeight="1">
      <c r="A95" s="64"/>
      <c r="B95" s="65" t="s">
        <v>372</v>
      </c>
      <c r="C95" s="114"/>
      <c r="D95" s="59"/>
      <c r="E95" s="59"/>
      <c r="F95" s="59"/>
      <c r="G95" s="89"/>
      <c r="H95" s="89"/>
      <c r="I95" s="60"/>
      <c r="J95" s="60"/>
      <c r="K95" s="60"/>
    </row>
    <row r="96" spans="1:247" s="69" customFormat="1" ht="60">
      <c r="A96" s="64"/>
      <c r="B96" s="65" t="s">
        <v>370</v>
      </c>
      <c r="C96" s="114"/>
      <c r="D96" s="59"/>
      <c r="E96" s="59"/>
      <c r="F96" s="59"/>
      <c r="G96" s="89"/>
      <c r="H96" s="89"/>
      <c r="I96" s="60"/>
      <c r="J96" s="60"/>
      <c r="K96" s="60"/>
    </row>
    <row r="97" spans="1:248" s="69" customFormat="1" ht="16.5" customHeight="1">
      <c r="A97" s="64"/>
      <c r="B97" s="76" t="s">
        <v>373</v>
      </c>
      <c r="C97" s="114">
        <f t="shared" ref="C97:G97" si="40">C98+C101+C102</f>
        <v>0</v>
      </c>
      <c r="D97" s="114">
        <f t="shared" si="40"/>
        <v>5061560</v>
      </c>
      <c r="E97" s="114">
        <f t="shared" ref="E97" si="41">E98+E101+E102</f>
        <v>5990060</v>
      </c>
      <c r="F97" s="114">
        <f t="shared" ref="F97" si="42">F98+F101+F102</f>
        <v>5990060</v>
      </c>
      <c r="G97" s="114">
        <f t="shared" si="40"/>
        <v>4201372.5</v>
      </c>
      <c r="H97" s="114">
        <f t="shared" ref="H97" si="43">H98+H101+H102</f>
        <v>936418.49</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9" customFormat="1" ht="30">
      <c r="A98" s="64"/>
      <c r="B98" s="65" t="s">
        <v>374</v>
      </c>
      <c r="C98" s="114">
        <f t="shared" ref="C98:G98" si="44">C99+C100</f>
        <v>0</v>
      </c>
      <c r="D98" s="114">
        <f t="shared" si="44"/>
        <v>4906930</v>
      </c>
      <c r="E98" s="114">
        <f t="shared" ref="E98" si="45">E99+E100</f>
        <v>5827000</v>
      </c>
      <c r="F98" s="114">
        <f t="shared" ref="F98" si="46">F99+F100</f>
        <v>5827000</v>
      </c>
      <c r="G98" s="114">
        <f t="shared" si="44"/>
        <v>4104590</v>
      </c>
      <c r="H98" s="114">
        <f t="shared" ref="H98" si="47">H99+H100</f>
        <v>920535.39</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4"/>
      <c r="D99" s="59">
        <v>4906930</v>
      </c>
      <c r="E99" s="59">
        <v>5827000</v>
      </c>
      <c r="F99" s="59">
        <v>5827000</v>
      </c>
      <c r="G99" s="89">
        <f>2320318.57+863736.04+920535.39</f>
        <v>4104590</v>
      </c>
      <c r="H99" s="89">
        <v>920535.39</v>
      </c>
      <c r="I99" s="60"/>
      <c r="J99" s="60"/>
      <c r="K99" s="60"/>
      <c r="L99" s="69"/>
      <c r="IN99" s="69"/>
    </row>
    <row r="100" spans="1:248" ht="60">
      <c r="A100" s="64"/>
      <c r="B100" s="65" t="s">
        <v>370</v>
      </c>
      <c r="C100" s="114"/>
      <c r="D100" s="59"/>
      <c r="E100" s="59"/>
      <c r="F100" s="59"/>
      <c r="G100" s="89"/>
      <c r="H100" s="89"/>
      <c r="I100" s="60"/>
      <c r="J100" s="60"/>
      <c r="K100" s="60"/>
      <c r="L100" s="69"/>
      <c r="IN100" s="69"/>
    </row>
    <row r="101" spans="1:248" ht="60">
      <c r="A101" s="64"/>
      <c r="B101" s="65" t="s">
        <v>375</v>
      </c>
      <c r="C101" s="114"/>
      <c r="D101" s="59">
        <v>86640</v>
      </c>
      <c r="E101" s="59">
        <v>91000</v>
      </c>
      <c r="F101" s="59">
        <v>91000</v>
      </c>
      <c r="G101" s="89">
        <f>29938.99+15190.41+15883.1</f>
        <v>61012.5</v>
      </c>
      <c r="H101" s="89">
        <v>15883.1</v>
      </c>
      <c r="I101" s="60"/>
      <c r="J101" s="60"/>
      <c r="K101" s="60"/>
      <c r="L101" s="69"/>
      <c r="IN101" s="69"/>
    </row>
    <row r="102" spans="1:248" ht="45">
      <c r="A102" s="64"/>
      <c r="B102" s="65" t="s">
        <v>376</v>
      </c>
      <c r="C102" s="114"/>
      <c r="D102" s="59">
        <v>67990</v>
      </c>
      <c r="E102" s="59">
        <v>72060</v>
      </c>
      <c r="F102" s="59">
        <v>72060</v>
      </c>
      <c r="G102" s="89">
        <f>23979.03+11790.97</f>
        <v>35770</v>
      </c>
      <c r="H102" s="89">
        <v>0</v>
      </c>
      <c r="I102" s="60"/>
      <c r="J102" s="60"/>
      <c r="K102" s="60"/>
      <c r="L102" s="69"/>
      <c r="IN102" s="69"/>
    </row>
    <row r="103" spans="1:248" s="61" customFormat="1" ht="16.5" customHeight="1">
      <c r="A103" s="64"/>
      <c r="B103" s="65" t="s">
        <v>377</v>
      </c>
      <c r="C103" s="114"/>
      <c r="D103" s="59">
        <v>126000</v>
      </c>
      <c r="E103" s="59">
        <v>126000</v>
      </c>
      <c r="F103" s="59">
        <v>126000</v>
      </c>
      <c r="G103" s="89">
        <f>41167.23+22832.77+21855.8</f>
        <v>85855.8</v>
      </c>
      <c r="H103" s="89">
        <v>21855.8</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9"/>
    </row>
    <row r="104" spans="1:248" ht="45">
      <c r="A104" s="64"/>
      <c r="B104" s="65" t="s">
        <v>378</v>
      </c>
      <c r="C104" s="114"/>
      <c r="D104" s="59">
        <v>981000</v>
      </c>
      <c r="E104" s="59">
        <v>981000</v>
      </c>
      <c r="F104" s="59">
        <v>981000</v>
      </c>
      <c r="G104" s="89">
        <f>319875.29+147364.71</f>
        <v>467240</v>
      </c>
      <c r="H104" s="89">
        <v>0</v>
      </c>
      <c r="I104" s="60"/>
      <c r="J104" s="60"/>
      <c r="K104" s="60"/>
      <c r="IN104" s="69"/>
    </row>
    <row r="105" spans="1:248">
      <c r="A105" s="64"/>
      <c r="B105" s="67" t="s">
        <v>361</v>
      </c>
      <c r="C105" s="114"/>
      <c r="D105" s="59"/>
      <c r="E105" s="59"/>
      <c r="F105" s="59"/>
      <c r="G105" s="89"/>
      <c r="H105" s="89"/>
      <c r="I105" s="60"/>
      <c r="J105" s="60"/>
      <c r="K105" s="60"/>
    </row>
    <row r="106" spans="1:248" ht="30">
      <c r="A106" s="121" t="s">
        <v>379</v>
      </c>
      <c r="B106" s="62" t="s">
        <v>380</v>
      </c>
      <c r="C106" s="114">
        <f t="shared" ref="C106:H106" si="48">C107+C110+C113+C116+C119+C122+C128+C125+C131</f>
        <v>0</v>
      </c>
      <c r="D106" s="114">
        <f t="shared" si="48"/>
        <v>47318930</v>
      </c>
      <c r="E106" s="114">
        <f t="shared" si="48"/>
        <v>49838460</v>
      </c>
      <c r="F106" s="114">
        <f t="shared" si="48"/>
        <v>49838460</v>
      </c>
      <c r="G106" s="114">
        <f t="shared" si="48"/>
        <v>39462334.579999998</v>
      </c>
      <c r="H106" s="114">
        <f t="shared" si="48"/>
        <v>8128895.9000000004</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4">
        <f t="shared" ref="C107:H107" si="49">C108+C109</f>
        <v>0</v>
      </c>
      <c r="D107" s="114">
        <f t="shared" si="49"/>
        <v>1220640</v>
      </c>
      <c r="E107" s="114">
        <f t="shared" ref="E107" si="50">E108+E109</f>
        <v>678610</v>
      </c>
      <c r="F107" s="114">
        <f t="shared" ref="F107" si="51">F108+F109</f>
        <v>678610</v>
      </c>
      <c r="G107" s="114">
        <f t="shared" si="49"/>
        <v>489907.20000000001</v>
      </c>
      <c r="H107" s="114">
        <f t="shared" si="49"/>
        <v>171297.2</v>
      </c>
      <c r="I107" s="60"/>
      <c r="J107" s="60"/>
      <c r="K107" s="60"/>
      <c r="L107" s="61"/>
    </row>
    <row r="108" spans="1:248">
      <c r="A108" s="64"/>
      <c r="B108" s="65" t="s">
        <v>368</v>
      </c>
      <c r="C108" s="114"/>
      <c r="D108" s="59">
        <v>1220640</v>
      </c>
      <c r="E108" s="59">
        <v>678610</v>
      </c>
      <c r="F108" s="59">
        <v>678610</v>
      </c>
      <c r="G108" s="89">
        <f>227552.71+91057.29+171297.2</f>
        <v>489907.20000000001</v>
      </c>
      <c r="H108" s="89">
        <v>171297.2</v>
      </c>
      <c r="I108" s="60"/>
      <c r="J108" s="60"/>
      <c r="K108" s="60"/>
      <c r="L108" s="61"/>
    </row>
    <row r="109" spans="1:248" ht="60">
      <c r="A109" s="64"/>
      <c r="B109" s="65" t="s">
        <v>370</v>
      </c>
      <c r="C109" s="114"/>
      <c r="D109" s="59"/>
      <c r="E109" s="59"/>
      <c r="F109" s="59"/>
      <c r="G109" s="89"/>
      <c r="H109" s="89"/>
      <c r="I109" s="60"/>
      <c r="J109" s="60"/>
      <c r="K109" s="60"/>
      <c r="L109" s="61"/>
    </row>
    <row r="110" spans="1:248" ht="16.5" customHeight="1">
      <c r="A110" s="64"/>
      <c r="B110" s="65" t="s">
        <v>382</v>
      </c>
      <c r="C110" s="114">
        <f t="shared" ref="C110:H110" si="52">C111+C112</f>
        <v>0</v>
      </c>
      <c r="D110" s="114">
        <f t="shared" si="52"/>
        <v>0</v>
      </c>
      <c r="E110" s="114">
        <f t="shared" ref="E110" si="53">E111+E112</f>
        <v>0</v>
      </c>
      <c r="F110" s="114">
        <f t="shared" ref="F110" si="54">F111+F112</f>
        <v>0</v>
      </c>
      <c r="G110" s="114">
        <f t="shared" si="52"/>
        <v>0</v>
      </c>
      <c r="H110" s="114">
        <f t="shared" si="52"/>
        <v>0</v>
      </c>
      <c r="I110" s="60"/>
      <c r="J110" s="60"/>
      <c r="K110" s="60"/>
    </row>
    <row r="111" spans="1:248">
      <c r="A111" s="64"/>
      <c r="B111" s="65" t="s">
        <v>368</v>
      </c>
      <c r="C111" s="114"/>
      <c r="D111" s="59"/>
      <c r="E111" s="59"/>
      <c r="F111" s="59"/>
      <c r="G111" s="89"/>
      <c r="H111" s="89"/>
      <c r="I111" s="60"/>
      <c r="J111" s="60"/>
      <c r="K111" s="60"/>
    </row>
    <row r="112" spans="1:248" ht="60">
      <c r="A112" s="64"/>
      <c r="B112" s="65" t="s">
        <v>370</v>
      </c>
      <c r="C112" s="114"/>
      <c r="D112" s="59"/>
      <c r="E112" s="59"/>
      <c r="F112" s="59"/>
      <c r="G112" s="89"/>
      <c r="H112" s="89"/>
      <c r="I112" s="60"/>
      <c r="J112" s="60"/>
      <c r="K112" s="60"/>
    </row>
    <row r="113" spans="1:248">
      <c r="A113" s="64"/>
      <c r="B113" s="65" t="s">
        <v>383</v>
      </c>
      <c r="C113" s="114">
        <f t="shared" ref="C113:H113" si="55">C114+C115</f>
        <v>0</v>
      </c>
      <c r="D113" s="114">
        <f t="shared" si="55"/>
        <v>42430</v>
      </c>
      <c r="E113" s="114">
        <f t="shared" ref="E113" si="56">E114+E115</f>
        <v>46900</v>
      </c>
      <c r="F113" s="114">
        <f t="shared" ref="F113" si="57">F114+F115</f>
        <v>46900</v>
      </c>
      <c r="G113" s="114">
        <f t="shared" si="55"/>
        <v>41896.620000000003</v>
      </c>
      <c r="H113" s="114">
        <f t="shared" si="55"/>
        <v>0</v>
      </c>
      <c r="I113" s="60"/>
      <c r="J113" s="60"/>
      <c r="K113" s="60"/>
      <c r="IN113" s="61"/>
    </row>
    <row r="114" spans="1:248">
      <c r="A114" s="64"/>
      <c r="B114" s="65" t="s">
        <v>368</v>
      </c>
      <c r="C114" s="114"/>
      <c r="D114" s="59">
        <v>42430</v>
      </c>
      <c r="E114" s="59">
        <v>46900</v>
      </c>
      <c r="F114" s="59">
        <v>46900</v>
      </c>
      <c r="G114" s="89">
        <f>13828.63+28067.99</f>
        <v>41896.620000000003</v>
      </c>
      <c r="H114" s="89">
        <v>0</v>
      </c>
      <c r="I114" s="60"/>
      <c r="J114" s="60"/>
      <c r="K114" s="60"/>
      <c r="IN114" s="61"/>
    </row>
    <row r="115" spans="1:248" ht="60">
      <c r="A115" s="64"/>
      <c r="B115" s="65" t="s">
        <v>370</v>
      </c>
      <c r="C115" s="114"/>
      <c r="D115" s="59"/>
      <c r="E115" s="59"/>
      <c r="F115" s="59"/>
      <c r="G115" s="89"/>
      <c r="H115" s="89"/>
      <c r="I115" s="60"/>
      <c r="J115" s="60"/>
      <c r="K115" s="60"/>
      <c r="IN115" s="61"/>
    </row>
    <row r="116" spans="1:248" ht="36" customHeight="1">
      <c r="A116" s="57"/>
      <c r="B116" s="65" t="s">
        <v>384</v>
      </c>
      <c r="C116" s="114">
        <f t="shared" ref="C116:H116" si="58">C117+C118</f>
        <v>0</v>
      </c>
      <c r="D116" s="114">
        <f t="shared" si="58"/>
        <v>23180020</v>
      </c>
      <c r="E116" s="114">
        <f t="shared" ref="E116" si="59">E117+E118</f>
        <v>23761340</v>
      </c>
      <c r="F116" s="114">
        <f t="shared" ref="F116" si="60">F117+F118</f>
        <v>23761340</v>
      </c>
      <c r="G116" s="114">
        <f t="shared" si="58"/>
        <v>17868530</v>
      </c>
      <c r="H116" s="114">
        <f t="shared" si="58"/>
        <v>3782190</v>
      </c>
      <c r="I116" s="60"/>
      <c r="J116" s="60"/>
      <c r="K116" s="60"/>
    </row>
    <row r="117" spans="1:248">
      <c r="A117" s="64"/>
      <c r="B117" s="65" t="s">
        <v>368</v>
      </c>
      <c r="C117" s="114"/>
      <c r="D117" s="59">
        <v>23180020</v>
      </c>
      <c r="E117" s="59">
        <v>23761340</v>
      </c>
      <c r="F117" s="59">
        <v>23761340</v>
      </c>
      <c r="G117" s="89">
        <f>11564057.36+2522282.64+3782190</f>
        <v>17868530</v>
      </c>
      <c r="H117" s="89">
        <v>3782190</v>
      </c>
      <c r="I117" s="60"/>
      <c r="J117" s="60"/>
      <c r="K117" s="60"/>
    </row>
    <row r="118" spans="1:248" ht="60">
      <c r="A118" s="64"/>
      <c r="B118" s="65" t="s">
        <v>370</v>
      </c>
      <c r="C118" s="114"/>
      <c r="D118" s="59"/>
      <c r="E118" s="59"/>
      <c r="F118" s="59"/>
      <c r="G118" s="89"/>
      <c r="H118" s="89"/>
      <c r="I118" s="60"/>
      <c r="J118" s="60"/>
      <c r="K118" s="60"/>
    </row>
    <row r="119" spans="1:248" ht="16.5" customHeight="1">
      <c r="A119" s="64"/>
      <c r="B119" s="77" t="s">
        <v>385</v>
      </c>
      <c r="C119" s="114">
        <f t="shared" ref="C119:H119" si="61">C120+C121</f>
        <v>0</v>
      </c>
      <c r="D119" s="114">
        <f t="shared" si="61"/>
        <v>25110</v>
      </c>
      <c r="E119" s="114">
        <f t="shared" ref="E119" si="62">E120+E121</f>
        <v>31670</v>
      </c>
      <c r="F119" s="114">
        <f t="shared" ref="F119" si="63">F120+F121</f>
        <v>31670</v>
      </c>
      <c r="G119" s="114">
        <f t="shared" si="61"/>
        <v>26200.83</v>
      </c>
      <c r="H119" s="114">
        <f t="shared" si="61"/>
        <v>4536.47</v>
      </c>
      <c r="I119" s="60"/>
      <c r="J119" s="60"/>
      <c r="K119" s="60"/>
    </row>
    <row r="120" spans="1:248">
      <c r="A120" s="64"/>
      <c r="B120" s="77" t="s">
        <v>368</v>
      </c>
      <c r="C120" s="114"/>
      <c r="D120" s="59">
        <v>25110</v>
      </c>
      <c r="E120" s="59">
        <v>31670</v>
      </c>
      <c r="F120" s="59">
        <v>31670</v>
      </c>
      <c r="G120" s="89">
        <f>14313.28+7351.08+4536.47</f>
        <v>26200.83</v>
      </c>
      <c r="H120" s="89">
        <v>4536.47</v>
      </c>
      <c r="I120" s="60"/>
      <c r="J120" s="60"/>
      <c r="K120" s="60"/>
    </row>
    <row r="121" spans="1:248" ht="60">
      <c r="A121" s="64"/>
      <c r="B121" s="77" t="s">
        <v>370</v>
      </c>
      <c r="C121" s="114"/>
      <c r="D121" s="59"/>
      <c r="E121" s="59"/>
      <c r="F121" s="59"/>
      <c r="G121" s="89"/>
      <c r="H121" s="89"/>
      <c r="I121" s="60"/>
      <c r="J121" s="60"/>
      <c r="K121" s="60"/>
    </row>
    <row r="122" spans="1:248" ht="30">
      <c r="A122" s="64"/>
      <c r="B122" s="65" t="s">
        <v>386</v>
      </c>
      <c r="C122" s="114">
        <f t="shared" ref="C122:H122" si="64">C123+C124</f>
        <v>0</v>
      </c>
      <c r="D122" s="114">
        <f t="shared" si="64"/>
        <v>165420</v>
      </c>
      <c r="E122" s="114">
        <f t="shared" ref="E122" si="65">E123+E124</f>
        <v>152570</v>
      </c>
      <c r="F122" s="114">
        <f t="shared" ref="F122" si="66">F123+F124</f>
        <v>152570</v>
      </c>
      <c r="G122" s="114">
        <f t="shared" si="64"/>
        <v>129235.35999999999</v>
      </c>
      <c r="H122" s="114">
        <f t="shared" si="64"/>
        <v>21675.15</v>
      </c>
      <c r="I122" s="60"/>
      <c r="J122" s="60"/>
      <c r="K122" s="60"/>
    </row>
    <row r="123" spans="1:248" ht="16.5" customHeight="1">
      <c r="A123" s="64"/>
      <c r="B123" s="65" t="s">
        <v>368</v>
      </c>
      <c r="C123" s="114"/>
      <c r="D123" s="59">
        <v>165420</v>
      </c>
      <c r="E123" s="59">
        <v>152570</v>
      </c>
      <c r="F123" s="59">
        <v>152570</v>
      </c>
      <c r="G123" s="89">
        <f>79604.78+27955.43+21675.15</f>
        <v>129235.35999999999</v>
      </c>
      <c r="H123" s="89">
        <v>21675.15</v>
      </c>
      <c r="I123" s="60"/>
      <c r="J123" s="60"/>
      <c r="K123" s="60"/>
    </row>
    <row r="124" spans="1:248" ht="60">
      <c r="A124" s="64"/>
      <c r="B124" s="65" t="s">
        <v>370</v>
      </c>
      <c r="C124" s="114"/>
      <c r="D124" s="59"/>
      <c r="E124" s="59"/>
      <c r="F124" s="59"/>
      <c r="G124" s="89"/>
      <c r="H124" s="89"/>
      <c r="I124" s="60"/>
      <c r="J124" s="60"/>
      <c r="K124" s="60"/>
    </row>
    <row r="125" spans="1:248" s="61" customFormat="1">
      <c r="A125" s="64"/>
      <c r="B125" s="78" t="s">
        <v>387</v>
      </c>
      <c r="C125" s="114">
        <f t="shared" ref="C125:H125" si="67">C126+C127</f>
        <v>0</v>
      </c>
      <c r="D125" s="114">
        <f t="shared" si="67"/>
        <v>0</v>
      </c>
      <c r="E125" s="114">
        <f t="shared" ref="E125" si="68">E126+E127</f>
        <v>0</v>
      </c>
      <c r="F125" s="114">
        <f t="shared" ref="F125" si="69">F126+F127</f>
        <v>0</v>
      </c>
      <c r="G125" s="114">
        <f t="shared" si="67"/>
        <v>0</v>
      </c>
      <c r="H125" s="114">
        <f t="shared" si="6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8" t="s">
        <v>368</v>
      </c>
      <c r="C126" s="114"/>
      <c r="D126" s="59"/>
      <c r="E126" s="59"/>
      <c r="F126" s="59"/>
      <c r="G126" s="89"/>
      <c r="H126" s="89"/>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60">
      <c r="A127" s="64"/>
      <c r="B127" s="78" t="s">
        <v>370</v>
      </c>
      <c r="C127" s="114"/>
      <c r="D127" s="59"/>
      <c r="E127" s="59"/>
      <c r="F127" s="59"/>
      <c r="G127" s="89"/>
      <c r="H127" s="89"/>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8" t="s">
        <v>388</v>
      </c>
      <c r="C128" s="114">
        <f t="shared" ref="C128:H128" si="70">C129+C130</f>
        <v>0</v>
      </c>
      <c r="D128" s="114">
        <f t="shared" si="70"/>
        <v>13932840</v>
      </c>
      <c r="E128" s="114">
        <f t="shared" ref="E128" si="71">E129+E130</f>
        <v>15094670</v>
      </c>
      <c r="F128" s="114">
        <f t="shared" ref="F128" si="72">F129+F130</f>
        <v>15094670</v>
      </c>
      <c r="G128" s="114">
        <f t="shared" si="70"/>
        <v>12459954.57</v>
      </c>
      <c r="H128" s="114">
        <f t="shared" si="70"/>
        <v>2378287.08</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8" t="s">
        <v>368</v>
      </c>
      <c r="C129" s="114"/>
      <c r="D129" s="59">
        <v>13932840</v>
      </c>
      <c r="E129" s="59">
        <v>15094670</v>
      </c>
      <c r="F129" s="59">
        <v>15094670</v>
      </c>
      <c r="G129" s="125">
        <f>7269323.55+2812343.94+2378287.08</f>
        <v>12459954.57</v>
      </c>
      <c r="H129" s="125">
        <v>2378287.08</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60">
      <c r="A130" s="64"/>
      <c r="B130" s="78" t="s">
        <v>370</v>
      </c>
      <c r="C130" s="114"/>
      <c r="D130" s="59"/>
      <c r="E130" s="59"/>
      <c r="F130" s="59"/>
      <c r="G130" s="125"/>
      <c r="H130" s="125"/>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9" t="s">
        <v>389</v>
      </c>
      <c r="C131" s="114">
        <f t="shared" ref="C131:H131" si="73">C132+C135+C138+C136+C137</f>
        <v>0</v>
      </c>
      <c r="D131" s="114">
        <f t="shared" si="73"/>
        <v>8752470</v>
      </c>
      <c r="E131" s="114">
        <f t="shared" ref="E131" si="74">E132+E135+E138+E136+E137</f>
        <v>10072700</v>
      </c>
      <c r="F131" s="114">
        <f t="shared" ref="F131" si="75">F132+F135+F138+F136+F137</f>
        <v>10072700</v>
      </c>
      <c r="G131" s="114">
        <f t="shared" si="73"/>
        <v>8446610</v>
      </c>
      <c r="H131" s="114">
        <f t="shared" si="73"/>
        <v>1770910</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8" t="s">
        <v>390</v>
      </c>
      <c r="C132" s="114">
        <f t="shared" ref="C132:H132" si="76">C133+C134</f>
        <v>0</v>
      </c>
      <c r="D132" s="114">
        <f t="shared" si="76"/>
        <v>8752470</v>
      </c>
      <c r="E132" s="114">
        <f t="shared" ref="E132" si="77">E133+E134</f>
        <v>10072700</v>
      </c>
      <c r="F132" s="114">
        <f t="shared" ref="F132" si="78">F133+F134</f>
        <v>10072700</v>
      </c>
      <c r="G132" s="114">
        <f t="shared" si="76"/>
        <v>8446610</v>
      </c>
      <c r="H132" s="114">
        <f t="shared" si="76"/>
        <v>1770910</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8" t="s">
        <v>368</v>
      </c>
      <c r="C133" s="114"/>
      <c r="D133" s="59">
        <v>8752470</v>
      </c>
      <c r="E133" s="59">
        <v>10072700</v>
      </c>
      <c r="F133" s="59">
        <v>10072700</v>
      </c>
      <c r="G133" s="89">
        <f>4945759.27+1729940.73+1770910</f>
        <v>8446610</v>
      </c>
      <c r="H133" s="89">
        <v>1770910</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60">
      <c r="A134" s="64"/>
      <c r="B134" s="78" t="s">
        <v>370</v>
      </c>
      <c r="C134" s="114"/>
      <c r="D134" s="59"/>
      <c r="E134" s="59"/>
      <c r="F134" s="59"/>
      <c r="G134" s="89"/>
      <c r="H134" s="89"/>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8" t="s">
        <v>391</v>
      </c>
      <c r="C135" s="114"/>
      <c r="D135" s="59"/>
      <c r="E135" s="59"/>
      <c r="F135" s="59"/>
      <c r="G135" s="89"/>
      <c r="H135" s="89"/>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8" t="s">
        <v>392</v>
      </c>
      <c r="C136" s="114"/>
      <c r="D136" s="59"/>
      <c r="E136" s="59"/>
      <c r="F136" s="59"/>
      <c r="G136" s="89"/>
      <c r="H136" s="89"/>
      <c r="I136" s="60"/>
      <c r="J136" s="60"/>
      <c r="K136" s="60"/>
    </row>
    <row r="137" spans="1:248" ht="16.5" customHeight="1">
      <c r="A137" s="57"/>
      <c r="B137" s="78" t="s">
        <v>393</v>
      </c>
      <c r="C137" s="114"/>
      <c r="D137" s="59"/>
      <c r="E137" s="59"/>
      <c r="F137" s="59"/>
      <c r="G137" s="89"/>
      <c r="H137" s="89"/>
      <c r="I137" s="60"/>
      <c r="J137" s="60"/>
      <c r="K137" s="60"/>
    </row>
    <row r="138" spans="1:248" s="61" customFormat="1" ht="16.5" customHeight="1">
      <c r="A138" s="64"/>
      <c r="B138" s="78" t="s">
        <v>394</v>
      </c>
      <c r="C138" s="114">
        <f>C139+C140</f>
        <v>0</v>
      </c>
      <c r="D138" s="114">
        <f t="shared" ref="D138:H138" si="79">D139+D140</f>
        <v>0</v>
      </c>
      <c r="E138" s="114">
        <f t="shared" ref="E138" si="80">E139+E140</f>
        <v>0</v>
      </c>
      <c r="F138" s="114">
        <f t="shared" ref="F138" si="81">F139+F140</f>
        <v>0</v>
      </c>
      <c r="G138" s="114">
        <f t="shared" si="79"/>
        <v>0</v>
      </c>
      <c r="H138" s="114">
        <f t="shared" si="79"/>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8" t="s">
        <v>368</v>
      </c>
      <c r="C139" s="114"/>
      <c r="D139" s="59"/>
      <c r="E139" s="59"/>
      <c r="F139" s="59"/>
      <c r="G139" s="89"/>
      <c r="H139" s="89"/>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60">
      <c r="A140" s="64"/>
      <c r="B140" s="78" t="s">
        <v>370</v>
      </c>
      <c r="C140" s="114"/>
      <c r="D140" s="59"/>
      <c r="E140" s="59"/>
      <c r="F140" s="59"/>
      <c r="G140" s="89"/>
      <c r="H140" s="89"/>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7" t="s">
        <v>361</v>
      </c>
      <c r="C141" s="114"/>
      <c r="D141" s="59"/>
      <c r="E141" s="59"/>
      <c r="F141" s="59"/>
      <c r="G141" s="89">
        <f>-63.22-31705.35-1079.86</f>
        <v>-32848.43</v>
      </c>
      <c r="H141" s="89">
        <v>-1079.8599999999999</v>
      </c>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4">
        <f t="shared" ref="C142:H142" si="82">C143+C146+C149+C152+C153+C154+C155+C158+C159+C160</f>
        <v>0</v>
      </c>
      <c r="D142" s="114">
        <f t="shared" si="82"/>
        <v>2379520</v>
      </c>
      <c r="E142" s="114">
        <f t="shared" si="82"/>
        <v>2243250</v>
      </c>
      <c r="F142" s="114">
        <f t="shared" si="82"/>
        <v>2243250</v>
      </c>
      <c r="G142" s="114">
        <f t="shared" si="82"/>
        <v>1850407.4300000002</v>
      </c>
      <c r="H142" s="114">
        <f t="shared" si="82"/>
        <v>382167.99</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4">
        <f t="shared" ref="C143:H143" si="83">C144+C145</f>
        <v>0</v>
      </c>
      <c r="D143" s="114">
        <f t="shared" si="83"/>
        <v>1133180</v>
      </c>
      <c r="E143" s="114">
        <f t="shared" si="83"/>
        <v>1127710</v>
      </c>
      <c r="F143" s="114">
        <f t="shared" ref="F143" si="84">F144+F145</f>
        <v>1127710</v>
      </c>
      <c r="G143" s="114">
        <f t="shared" si="83"/>
        <v>918230</v>
      </c>
      <c r="H143" s="114">
        <f t="shared" si="83"/>
        <v>182520</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4"/>
      <c r="D144" s="59">
        <v>1133180</v>
      </c>
      <c r="E144" s="59">
        <v>1127710</v>
      </c>
      <c r="F144" s="59">
        <v>1127710</v>
      </c>
      <c r="G144" s="89">
        <f>564960+170750+182520</f>
        <v>918230</v>
      </c>
      <c r="H144" s="89">
        <v>182520</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4"/>
      <c r="D145" s="59"/>
      <c r="E145" s="59"/>
      <c r="F145" s="59"/>
      <c r="G145" s="89"/>
      <c r="H145" s="89"/>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80" t="s">
        <v>397</v>
      </c>
      <c r="C146" s="114">
        <f t="shared" ref="C146:H146" si="85">C147+C148</f>
        <v>0</v>
      </c>
      <c r="D146" s="114">
        <f t="shared" si="85"/>
        <v>290240</v>
      </c>
      <c r="E146" s="114">
        <f t="shared" si="85"/>
        <v>301460</v>
      </c>
      <c r="F146" s="114">
        <f t="shared" ref="F146" si="86">F147+F148</f>
        <v>301460</v>
      </c>
      <c r="G146" s="114">
        <f t="shared" si="85"/>
        <v>241124.95</v>
      </c>
      <c r="H146" s="114">
        <f t="shared" si="85"/>
        <v>34667.08</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80" t="s">
        <v>368</v>
      </c>
      <c r="C147" s="114"/>
      <c r="D147" s="59">
        <v>290240</v>
      </c>
      <c r="E147" s="59">
        <v>301460</v>
      </c>
      <c r="F147" s="59">
        <v>301460</v>
      </c>
      <c r="G147" s="89">
        <f>146699.64+59758.23+34667.08</f>
        <v>241124.95</v>
      </c>
      <c r="H147" s="89">
        <v>34667.08</v>
      </c>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60">
      <c r="A148" s="64"/>
      <c r="B148" s="80" t="s">
        <v>370</v>
      </c>
      <c r="C148" s="114"/>
      <c r="D148" s="59"/>
      <c r="E148" s="59"/>
      <c r="F148" s="59"/>
      <c r="G148" s="89"/>
      <c r="H148" s="89"/>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1" t="s">
        <v>398</v>
      </c>
      <c r="C149" s="114">
        <f t="shared" ref="C149:H149" si="87">C150+C151</f>
        <v>0</v>
      </c>
      <c r="D149" s="114">
        <f t="shared" si="87"/>
        <v>956100</v>
      </c>
      <c r="E149" s="114">
        <f t="shared" si="87"/>
        <v>814080</v>
      </c>
      <c r="F149" s="114">
        <f t="shared" ref="F149" si="88">F150+F151</f>
        <v>814080</v>
      </c>
      <c r="G149" s="114">
        <f t="shared" si="87"/>
        <v>691052.4800000001</v>
      </c>
      <c r="H149" s="114">
        <f t="shared" si="87"/>
        <v>164980.91</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1" t="s">
        <v>368</v>
      </c>
      <c r="C150" s="114"/>
      <c r="D150" s="59">
        <v>956100</v>
      </c>
      <c r="E150" s="59">
        <v>814080</v>
      </c>
      <c r="F150" s="59">
        <v>814080</v>
      </c>
      <c r="G150" s="89">
        <f>470904.82+55166.75+164980.91</f>
        <v>691052.4800000001</v>
      </c>
      <c r="H150" s="89">
        <v>164980.91</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16.5" customHeight="1">
      <c r="A151" s="57"/>
      <c r="B151" s="81" t="s">
        <v>370</v>
      </c>
      <c r="C151" s="114"/>
      <c r="D151" s="59"/>
      <c r="E151" s="59"/>
      <c r="F151" s="59"/>
      <c r="G151" s="89"/>
      <c r="H151" s="89"/>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61" customFormat="1" ht="16.5" customHeight="1">
      <c r="A152" s="64"/>
      <c r="B152" s="81" t="s">
        <v>399</v>
      </c>
      <c r="C152" s="114"/>
      <c r="D152" s="59"/>
      <c r="E152" s="59"/>
      <c r="F152" s="59"/>
      <c r="G152" s="89"/>
      <c r="H152" s="89"/>
      <c r="I152" s="60"/>
      <c r="J152" s="60"/>
      <c r="K152" s="60"/>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row>
    <row r="153" spans="1:254" s="61" customFormat="1" ht="16.5" customHeight="1">
      <c r="A153" s="64"/>
      <c r="B153" s="81" t="s">
        <v>400</v>
      </c>
      <c r="C153" s="114"/>
      <c r="D153" s="59"/>
      <c r="E153" s="59"/>
      <c r="F153" s="59"/>
      <c r="G153" s="89"/>
      <c r="H153" s="89"/>
      <c r="I153" s="60"/>
      <c r="J153" s="60"/>
      <c r="K153" s="60"/>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row>
    <row r="154" spans="1:254" ht="16.5" customHeight="1">
      <c r="A154" s="64"/>
      <c r="B154" s="65" t="s">
        <v>381</v>
      </c>
      <c r="C154" s="114"/>
      <c r="D154" s="59"/>
      <c r="E154" s="59"/>
      <c r="F154" s="59"/>
      <c r="G154" s="89"/>
      <c r="H154" s="89"/>
      <c r="I154" s="60"/>
      <c r="J154" s="60"/>
      <c r="K154" s="60"/>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O154" s="61"/>
      <c r="IP154" s="61"/>
      <c r="IQ154" s="61"/>
      <c r="IR154" s="61"/>
      <c r="IS154" s="61"/>
      <c r="IT154" s="61"/>
    </row>
    <row r="155" spans="1:254">
      <c r="A155" s="57"/>
      <c r="B155" s="81" t="s">
        <v>401</v>
      </c>
      <c r="C155" s="114">
        <f t="shared" ref="C155:H155" si="89">C156+C157</f>
        <v>0</v>
      </c>
      <c r="D155" s="114">
        <f t="shared" si="89"/>
        <v>0</v>
      </c>
      <c r="E155" s="114">
        <f t="shared" si="89"/>
        <v>0</v>
      </c>
      <c r="F155" s="114">
        <f t="shared" ref="F155" si="90">F156+F157</f>
        <v>0</v>
      </c>
      <c r="G155" s="114">
        <f t="shared" si="89"/>
        <v>0</v>
      </c>
      <c r="H155" s="114">
        <f t="shared" si="89"/>
        <v>0</v>
      </c>
      <c r="I155" s="60"/>
      <c r="J155" s="60"/>
      <c r="K155" s="60"/>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O155" s="61"/>
      <c r="IP155" s="61"/>
      <c r="IQ155" s="61"/>
      <c r="IR155" s="61"/>
      <c r="IS155" s="61"/>
      <c r="IT155" s="61"/>
    </row>
    <row r="156" spans="1:254">
      <c r="A156" s="64"/>
      <c r="B156" s="81" t="s">
        <v>368</v>
      </c>
      <c r="C156" s="114"/>
      <c r="D156" s="59"/>
      <c r="E156" s="59"/>
      <c r="F156" s="59"/>
      <c r="G156" s="126"/>
      <c r="H156" s="126"/>
      <c r="I156" s="60"/>
      <c r="J156" s="60"/>
      <c r="K156" s="60"/>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row>
    <row r="157" spans="1:254" ht="60">
      <c r="A157" s="64"/>
      <c r="B157" s="81" t="s">
        <v>370</v>
      </c>
      <c r="C157" s="114"/>
      <c r="D157" s="59"/>
      <c r="E157" s="59"/>
      <c r="F157" s="59"/>
      <c r="G157" s="126"/>
      <c r="H157" s="126"/>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row>
    <row r="158" spans="1:254" ht="45">
      <c r="A158" s="64"/>
      <c r="B158" s="82" t="s">
        <v>508</v>
      </c>
      <c r="C158" s="114"/>
      <c r="D158" s="59"/>
      <c r="E158" s="59"/>
      <c r="F158" s="59"/>
      <c r="G158" s="126"/>
      <c r="H158" s="126"/>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30">
      <c r="A159" s="64"/>
      <c r="B159" s="82" t="s">
        <v>402</v>
      </c>
      <c r="C159" s="114"/>
      <c r="D159" s="59"/>
      <c r="E159" s="59"/>
      <c r="F159" s="59"/>
      <c r="G159" s="126"/>
      <c r="H159" s="126"/>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row>
    <row r="160" spans="1:254" s="61" customFormat="1" ht="30">
      <c r="A160" s="64"/>
      <c r="B160" s="83" t="s">
        <v>403</v>
      </c>
      <c r="C160" s="114">
        <f t="shared" ref="C160:H160" si="91">C161+C164+C165+C168</f>
        <v>0</v>
      </c>
      <c r="D160" s="114">
        <f t="shared" si="91"/>
        <v>0</v>
      </c>
      <c r="E160" s="114">
        <f t="shared" si="91"/>
        <v>0</v>
      </c>
      <c r="F160" s="114">
        <f t="shared" si="91"/>
        <v>0</v>
      </c>
      <c r="G160" s="114">
        <f t="shared" si="91"/>
        <v>0</v>
      </c>
      <c r="H160" s="114">
        <f t="shared" si="91"/>
        <v>0</v>
      </c>
      <c r="I160" s="60"/>
      <c r="J160" s="60"/>
      <c r="K160" s="60"/>
      <c r="IO160" s="44"/>
      <c r="IP160" s="44"/>
      <c r="IQ160" s="44"/>
      <c r="IR160" s="44"/>
      <c r="IS160" s="44"/>
      <c r="IT160" s="44"/>
    </row>
    <row r="161" spans="1:254" s="61" customFormat="1">
      <c r="A161" s="64"/>
      <c r="B161" s="84" t="s">
        <v>404</v>
      </c>
      <c r="C161" s="114">
        <f t="shared" ref="C161:H161" si="92">C162+C163</f>
        <v>0</v>
      </c>
      <c r="D161" s="114">
        <f t="shared" si="92"/>
        <v>0</v>
      </c>
      <c r="E161" s="114">
        <f t="shared" si="92"/>
        <v>0</v>
      </c>
      <c r="F161" s="114">
        <f t="shared" si="92"/>
        <v>0</v>
      </c>
      <c r="G161" s="114">
        <f t="shared" si="92"/>
        <v>0</v>
      </c>
      <c r="H161" s="114">
        <f t="shared" si="92"/>
        <v>0</v>
      </c>
      <c r="I161" s="60"/>
      <c r="J161" s="60"/>
      <c r="K161" s="60"/>
      <c r="IO161" s="44"/>
      <c r="IP161" s="44"/>
      <c r="IQ161" s="44"/>
      <c r="IR161" s="44"/>
      <c r="IS161" s="44"/>
      <c r="IT161" s="44"/>
    </row>
    <row r="162" spans="1:254">
      <c r="A162" s="64"/>
      <c r="B162" s="84" t="s">
        <v>368</v>
      </c>
      <c r="C162" s="114"/>
      <c r="D162" s="59"/>
      <c r="E162" s="59"/>
      <c r="F162" s="59"/>
      <c r="G162" s="126"/>
      <c r="H162" s="126"/>
      <c r="I162" s="60"/>
      <c r="J162" s="60"/>
      <c r="K162" s="60"/>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row>
    <row r="163" spans="1:254" ht="60">
      <c r="A163" s="57"/>
      <c r="B163" s="84" t="s">
        <v>370</v>
      </c>
      <c r="C163" s="114"/>
      <c r="D163" s="59"/>
      <c r="E163" s="59"/>
      <c r="F163" s="59"/>
      <c r="G163" s="126"/>
      <c r="H163" s="126"/>
      <c r="I163" s="60"/>
      <c r="J163" s="60"/>
      <c r="K163" s="60"/>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row>
    <row r="164" spans="1:254" ht="30">
      <c r="A164" s="57"/>
      <c r="B164" s="84" t="s">
        <v>405</v>
      </c>
      <c r="C164" s="114"/>
      <c r="D164" s="59"/>
      <c r="E164" s="59"/>
      <c r="F164" s="59"/>
      <c r="G164" s="126"/>
      <c r="H164" s="126"/>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row>
    <row r="165" spans="1:254" ht="30">
      <c r="A165" s="57"/>
      <c r="B165" s="84" t="s">
        <v>406</v>
      </c>
      <c r="C165" s="114">
        <f t="shared" ref="C165:H165" si="93">C166+C167</f>
        <v>0</v>
      </c>
      <c r="D165" s="114">
        <f t="shared" si="93"/>
        <v>0</v>
      </c>
      <c r="E165" s="114">
        <f t="shared" si="93"/>
        <v>0</v>
      </c>
      <c r="F165" s="114">
        <f t="shared" si="93"/>
        <v>0</v>
      </c>
      <c r="G165" s="114">
        <f t="shared" si="93"/>
        <v>0</v>
      </c>
      <c r="H165" s="114">
        <f t="shared" si="93"/>
        <v>0</v>
      </c>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row>
    <row r="166" spans="1:254">
      <c r="A166" s="57"/>
      <c r="B166" s="84" t="s">
        <v>368</v>
      </c>
      <c r="C166" s="114"/>
      <c r="D166" s="59"/>
      <c r="E166" s="59"/>
      <c r="F166" s="59"/>
      <c r="G166" s="126"/>
      <c r="H166" s="126"/>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60">
      <c r="A167" s="64"/>
      <c r="B167" s="84" t="s">
        <v>370</v>
      </c>
      <c r="C167" s="114"/>
      <c r="D167" s="59"/>
      <c r="E167" s="59"/>
      <c r="F167" s="59"/>
      <c r="G167" s="126"/>
      <c r="H167" s="126"/>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ht="30" customHeight="1">
      <c r="A168" s="64"/>
      <c r="B168" s="84" t="s">
        <v>407</v>
      </c>
      <c r="C168" s="114"/>
      <c r="D168" s="59"/>
      <c r="E168" s="59"/>
      <c r="F168" s="59"/>
      <c r="G168" s="126"/>
      <c r="H168" s="126"/>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16.5" customHeight="1">
      <c r="A169" s="64"/>
      <c r="B169" s="67" t="s">
        <v>361</v>
      </c>
      <c r="C169" s="114"/>
      <c r="D169" s="59"/>
      <c r="E169" s="59"/>
      <c r="F169" s="59"/>
      <c r="G169" s="126"/>
      <c r="H169" s="126"/>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c r="A170" s="57" t="s">
        <v>408</v>
      </c>
      <c r="B170" s="67" t="s">
        <v>409</v>
      </c>
      <c r="C170" s="112">
        <f t="shared" ref="C170:H170" si="94">C171+C172</f>
        <v>0</v>
      </c>
      <c r="D170" s="112">
        <f t="shared" si="94"/>
        <v>18165570</v>
      </c>
      <c r="E170" s="112">
        <f t="shared" si="94"/>
        <v>18165570</v>
      </c>
      <c r="F170" s="112">
        <f t="shared" si="94"/>
        <v>13770930</v>
      </c>
      <c r="G170" s="112">
        <f t="shared" si="94"/>
        <v>9048441.0999999996</v>
      </c>
      <c r="H170" s="112">
        <f t="shared" si="94"/>
        <v>2411441.1</v>
      </c>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57"/>
      <c r="B171" s="67" t="s">
        <v>368</v>
      </c>
      <c r="C171" s="112"/>
      <c r="D171" s="59">
        <v>18165570</v>
      </c>
      <c r="E171" s="59">
        <v>18165570</v>
      </c>
      <c r="F171" s="59">
        <v>13770930</v>
      </c>
      <c r="G171" s="89">
        <f>4517000+2120000+2411441.1</f>
        <v>9048441.0999999996</v>
      </c>
      <c r="H171" s="89">
        <v>2411441.1</v>
      </c>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ht="60">
      <c r="A172" s="57"/>
      <c r="B172" s="67" t="s">
        <v>370</v>
      </c>
      <c r="C172" s="112"/>
      <c r="D172" s="59"/>
      <c r="E172" s="59"/>
      <c r="F172" s="59"/>
      <c r="G172" s="89"/>
      <c r="H172" s="89"/>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64"/>
      <c r="B173" s="67" t="s">
        <v>361</v>
      </c>
      <c r="C173" s="112"/>
      <c r="D173" s="59"/>
      <c r="E173" s="59"/>
      <c r="F173" s="59"/>
      <c r="G173" s="89"/>
      <c r="H173" s="89"/>
      <c r="I173" s="60"/>
      <c r="J173" s="60"/>
      <c r="K173" s="60"/>
      <c r="L173" s="61"/>
      <c r="IN173" s="61"/>
    </row>
    <row r="174" spans="1:254">
      <c r="A174" s="64" t="s">
        <v>410</v>
      </c>
      <c r="B174" s="67" t="s">
        <v>411</v>
      </c>
      <c r="C174" s="114">
        <f t="shared" ref="C174:H174" si="95">C175+C176</f>
        <v>0</v>
      </c>
      <c r="D174" s="114">
        <f t="shared" si="95"/>
        <v>2386000</v>
      </c>
      <c r="E174" s="114">
        <f t="shared" si="95"/>
        <v>2386000</v>
      </c>
      <c r="F174" s="114">
        <f t="shared" si="95"/>
        <v>2386000</v>
      </c>
      <c r="G174" s="114">
        <f t="shared" si="95"/>
        <v>1744899.59</v>
      </c>
      <c r="H174" s="114">
        <f t="shared" si="95"/>
        <v>499927.26</v>
      </c>
      <c r="I174" s="60"/>
      <c r="J174" s="60"/>
      <c r="K174" s="60"/>
      <c r="IN174" s="61"/>
    </row>
    <row r="175" spans="1:254">
      <c r="A175" s="64"/>
      <c r="B175" s="67" t="s">
        <v>368</v>
      </c>
      <c r="C175" s="114"/>
      <c r="D175" s="59">
        <v>2386000</v>
      </c>
      <c r="E175" s="59">
        <v>2386000</v>
      </c>
      <c r="F175" s="59">
        <v>2386000</v>
      </c>
      <c r="G175" s="123">
        <f>794917.07+450055.26+499927.26</f>
        <v>1744899.59</v>
      </c>
      <c r="H175" s="123">
        <v>499927.26</v>
      </c>
      <c r="I175" s="60"/>
      <c r="J175" s="60"/>
      <c r="K175" s="60"/>
      <c r="IN175" s="61"/>
    </row>
    <row r="176" spans="1:254" ht="60">
      <c r="A176" s="64"/>
      <c r="B176" s="67" t="s">
        <v>370</v>
      </c>
      <c r="C176" s="114"/>
      <c r="D176" s="59"/>
      <c r="E176" s="59"/>
      <c r="F176" s="59"/>
      <c r="G176" s="123"/>
      <c r="H176" s="123"/>
      <c r="I176" s="60"/>
      <c r="J176" s="60"/>
      <c r="K176" s="60"/>
      <c r="IN176" s="61"/>
    </row>
    <row r="177" spans="1:248">
      <c r="A177" s="64"/>
      <c r="B177" s="67" t="s">
        <v>361</v>
      </c>
      <c r="C177" s="114"/>
      <c r="D177" s="59"/>
      <c r="E177" s="59"/>
      <c r="F177" s="59"/>
      <c r="G177" s="123"/>
      <c r="H177" s="123"/>
      <c r="I177" s="60"/>
      <c r="J177" s="60"/>
      <c r="K177" s="60"/>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row>
    <row r="178" spans="1:248">
      <c r="A178" s="64" t="s">
        <v>412</v>
      </c>
      <c r="B178" s="62" t="s">
        <v>413</v>
      </c>
      <c r="C178" s="113">
        <f>+C179+C190+C195+C200+C212</f>
        <v>0</v>
      </c>
      <c r="D178" s="113">
        <f t="shared" ref="D178:H178" si="96">+D179+D190+D195+D200+D212</f>
        <v>62526020</v>
      </c>
      <c r="E178" s="113">
        <f t="shared" si="96"/>
        <v>65008170</v>
      </c>
      <c r="F178" s="113">
        <f t="shared" si="96"/>
        <v>65008170</v>
      </c>
      <c r="G178" s="113">
        <f t="shared" si="96"/>
        <v>40392685.569999993</v>
      </c>
      <c r="H178" s="113">
        <f t="shared" si="96"/>
        <v>9892773.9699999988</v>
      </c>
      <c r="I178" s="60"/>
      <c r="J178" s="60"/>
      <c r="K178" s="60"/>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row>
    <row r="179" spans="1:248">
      <c r="A179" s="64" t="s">
        <v>414</v>
      </c>
      <c r="B179" s="62" t="s">
        <v>415</v>
      </c>
      <c r="C179" s="112">
        <f>+C180+C184+C185+C186+C187+C188</f>
        <v>0</v>
      </c>
      <c r="D179" s="112">
        <f t="shared" ref="D179:H179" si="97">+D180+D184+D185+D186+D187+D188</f>
        <v>34079170</v>
      </c>
      <c r="E179" s="112">
        <f t="shared" si="97"/>
        <v>33734270</v>
      </c>
      <c r="F179" s="112">
        <f t="shared" si="97"/>
        <v>33734270</v>
      </c>
      <c r="G179" s="112">
        <f t="shared" si="97"/>
        <v>20664534.66</v>
      </c>
      <c r="H179" s="112">
        <f t="shared" si="97"/>
        <v>4680240.26</v>
      </c>
      <c r="I179" s="60"/>
      <c r="J179" s="60"/>
      <c r="K179" s="60"/>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row>
    <row r="180" spans="1:248" ht="16.5" customHeight="1">
      <c r="A180" s="64"/>
      <c r="B180" s="85" t="s">
        <v>514</v>
      </c>
      <c r="C180" s="114">
        <f>C181+C182+C183</f>
        <v>0</v>
      </c>
      <c r="D180" s="114">
        <v>30747000</v>
      </c>
      <c r="E180" s="114">
        <v>31387000</v>
      </c>
      <c r="F180" s="114">
        <v>31387000</v>
      </c>
      <c r="G180" s="114">
        <f t="shared" ref="G180" si="98">G181+G182+G183</f>
        <v>19466492.200000003</v>
      </c>
      <c r="H180" s="114">
        <v>4456494.8</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row>
    <row r="181" spans="1:248" ht="16.5" customHeight="1">
      <c r="A181" s="64"/>
      <c r="B181" s="111" t="s">
        <v>417</v>
      </c>
      <c r="C181" s="114"/>
      <c r="D181" s="59">
        <v>15370000</v>
      </c>
      <c r="E181" s="59">
        <v>15690000</v>
      </c>
      <c r="F181" s="59">
        <v>15690000</v>
      </c>
      <c r="G181" s="89">
        <f>2402593.1+2439062.54+2488648.9+2378218.6</f>
        <v>9708523.1400000006</v>
      </c>
      <c r="H181" s="89">
        <v>2378218.6</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row>
    <row r="182" spans="1:248">
      <c r="A182" s="64"/>
      <c r="B182" s="111" t="s">
        <v>418</v>
      </c>
      <c r="C182" s="114"/>
      <c r="D182" s="59">
        <v>15377000</v>
      </c>
      <c r="E182" s="59">
        <v>15697000</v>
      </c>
      <c r="F182" s="59">
        <v>15697000</v>
      </c>
      <c r="G182" s="89">
        <f>1865622.6+3343399.06+2470671.2+2078276.2</f>
        <v>9757969.0600000005</v>
      </c>
      <c r="H182" s="89">
        <v>2078276.2</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c r="A183" s="64"/>
      <c r="B183" s="111" t="s">
        <v>513</v>
      </c>
      <c r="C183" s="114"/>
      <c r="D183" s="59"/>
      <c r="E183" s="59"/>
      <c r="F183" s="59"/>
      <c r="G183" s="89"/>
      <c r="H183" s="89"/>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57"/>
      <c r="B184" s="85" t="s">
        <v>419</v>
      </c>
      <c r="C184" s="114"/>
      <c r="D184" s="59">
        <v>1448000</v>
      </c>
      <c r="E184" s="59">
        <v>1448000</v>
      </c>
      <c r="F184" s="59">
        <v>1448000</v>
      </c>
      <c r="G184" s="65">
        <f>232547.56+233116+206836.44+223697.06</f>
        <v>896197.06</v>
      </c>
      <c r="H184" s="65">
        <v>223697.06</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ht="45">
      <c r="A185" s="57"/>
      <c r="B185" s="85" t="s">
        <v>420</v>
      </c>
      <c r="C185" s="114"/>
      <c r="D185" s="59">
        <v>442000</v>
      </c>
      <c r="E185" s="59">
        <v>442000</v>
      </c>
      <c r="F185" s="59">
        <v>442000</v>
      </c>
      <c r="G185" s="65">
        <f>15855+42840</f>
        <v>58695</v>
      </c>
      <c r="H185" s="65">
        <v>0</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ht="45">
      <c r="A186" s="57"/>
      <c r="B186" s="85" t="s">
        <v>421</v>
      </c>
      <c r="C186" s="114"/>
      <c r="D186" s="59">
        <v>452000</v>
      </c>
      <c r="E186" s="59">
        <v>452000</v>
      </c>
      <c r="F186" s="59">
        <v>452000</v>
      </c>
      <c r="G186" s="65">
        <f>150570+92400</f>
        <v>242970</v>
      </c>
      <c r="H186" s="65">
        <v>0</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60">
      <c r="A187" s="57"/>
      <c r="B187" s="85" t="s">
        <v>370</v>
      </c>
      <c r="C187" s="114"/>
      <c r="D187" s="59">
        <v>170</v>
      </c>
      <c r="E187" s="59">
        <v>170</v>
      </c>
      <c r="F187" s="59">
        <v>170</v>
      </c>
      <c r="G187" s="65">
        <v>132</v>
      </c>
      <c r="H187" s="65">
        <v>0</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5" t="s">
        <v>509</v>
      </c>
      <c r="C188" s="114"/>
      <c r="D188" s="59">
        <v>990000</v>
      </c>
      <c r="E188" s="59">
        <v>5100</v>
      </c>
      <c r="F188" s="59">
        <v>5100</v>
      </c>
      <c r="G188" s="65">
        <v>48.4</v>
      </c>
      <c r="H188" s="65">
        <v>48.4</v>
      </c>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c r="A189" s="57"/>
      <c r="B189" s="67" t="s">
        <v>361</v>
      </c>
      <c r="C189" s="114"/>
      <c r="D189" s="59"/>
      <c r="E189" s="59"/>
      <c r="F189" s="59"/>
      <c r="G189" s="65">
        <v>-170.8</v>
      </c>
      <c r="H189" s="65">
        <v>0</v>
      </c>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c r="A190" s="57" t="s">
        <v>422</v>
      </c>
      <c r="B190" s="86" t="s">
        <v>423</v>
      </c>
      <c r="C190" s="114">
        <f>C191+C192+C193</f>
        <v>0</v>
      </c>
      <c r="D190" s="114">
        <f t="shared" ref="D190:H190" si="99">D191+D192+D193</f>
        <v>15342160</v>
      </c>
      <c r="E190" s="114">
        <f t="shared" si="99"/>
        <v>17423160</v>
      </c>
      <c r="F190" s="114">
        <f t="shared" si="99"/>
        <v>17423160</v>
      </c>
      <c r="G190" s="114">
        <f t="shared" si="99"/>
        <v>10884089.709999999</v>
      </c>
      <c r="H190" s="114">
        <f t="shared" si="99"/>
        <v>2934046.51</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87" t="s">
        <v>368</v>
      </c>
      <c r="C191" s="114"/>
      <c r="D191" s="59">
        <v>15342000</v>
      </c>
      <c r="E191" s="59">
        <v>17423000</v>
      </c>
      <c r="F191" s="59">
        <v>17423000</v>
      </c>
      <c r="G191" s="114">
        <f>5289450.87+2660549.13+2934046.51</f>
        <v>10884046.51</v>
      </c>
      <c r="H191" s="114">
        <v>2934046.51</v>
      </c>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ht="60">
      <c r="A192" s="57"/>
      <c r="B192" s="87" t="s">
        <v>370</v>
      </c>
      <c r="C192" s="114"/>
      <c r="D192" s="59">
        <v>160</v>
      </c>
      <c r="E192" s="59">
        <v>160</v>
      </c>
      <c r="F192" s="59">
        <v>160</v>
      </c>
      <c r="G192" s="114">
        <v>43.2</v>
      </c>
      <c r="H192" s="114">
        <v>0</v>
      </c>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ht="30">
      <c r="A193" s="57"/>
      <c r="B193" s="87" t="s">
        <v>510</v>
      </c>
      <c r="C193" s="114"/>
      <c r="D193" s="59"/>
      <c r="E193" s="59"/>
      <c r="F193" s="59"/>
      <c r="G193" s="114"/>
      <c r="H193" s="114"/>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c r="A194" s="57"/>
      <c r="B194" s="67" t="s">
        <v>361</v>
      </c>
      <c r="C194" s="114"/>
      <c r="D194" s="59"/>
      <c r="E194" s="59"/>
      <c r="F194" s="59"/>
      <c r="G194" s="65"/>
      <c r="H194" s="65"/>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IN194" s="61"/>
    </row>
    <row r="195" spans="1:248">
      <c r="A195" s="57" t="s">
        <v>424</v>
      </c>
      <c r="B195" s="88" t="s">
        <v>425</v>
      </c>
      <c r="C195" s="114">
        <f t="shared" ref="C195:H195" si="100">+C196+C197+C198</f>
        <v>0</v>
      </c>
      <c r="D195" s="114">
        <f t="shared" si="100"/>
        <v>748000</v>
      </c>
      <c r="E195" s="114">
        <f t="shared" si="100"/>
        <v>745000</v>
      </c>
      <c r="F195" s="114">
        <f t="shared" si="100"/>
        <v>745000</v>
      </c>
      <c r="G195" s="114">
        <f t="shared" si="100"/>
        <v>476192.2</v>
      </c>
      <c r="H195" s="114">
        <f t="shared" si="100"/>
        <v>125192.2</v>
      </c>
      <c r="I195" s="60"/>
      <c r="J195" s="60"/>
      <c r="K195" s="60"/>
      <c r="L195" s="61"/>
      <c r="IN195" s="61"/>
    </row>
    <row r="196" spans="1:248">
      <c r="A196" s="57"/>
      <c r="B196" s="85" t="s">
        <v>416</v>
      </c>
      <c r="C196" s="114"/>
      <c r="D196" s="59">
        <v>748000</v>
      </c>
      <c r="E196" s="59">
        <v>745000</v>
      </c>
      <c r="F196" s="59">
        <v>745000</v>
      </c>
      <c r="G196" s="89">
        <f>234571.6+116428.4+125192.2</f>
        <v>476192.2</v>
      </c>
      <c r="H196" s="89">
        <v>125192.2</v>
      </c>
      <c r="I196" s="60"/>
      <c r="J196" s="60"/>
      <c r="K196" s="60"/>
      <c r="M196" s="89"/>
      <c r="N196" s="89"/>
      <c r="O196" s="89"/>
      <c r="P196" s="89"/>
      <c r="Q196" s="89"/>
      <c r="R196" s="89"/>
      <c r="S196" s="89"/>
      <c r="T196" s="89"/>
      <c r="U196" s="89"/>
      <c r="V196" s="89"/>
      <c r="W196" s="89"/>
      <c r="X196" s="89"/>
      <c r="Y196" s="89"/>
      <c r="Z196" s="89"/>
      <c r="AA196" s="89"/>
      <c r="AB196" s="89"/>
      <c r="AC196" s="89"/>
      <c r="AD196" s="89"/>
      <c r="AE196" s="89"/>
      <c r="IN196" s="61"/>
    </row>
    <row r="197" spans="1:248" ht="30">
      <c r="A197" s="57"/>
      <c r="B197" s="85" t="s">
        <v>426</v>
      </c>
      <c r="C197" s="114"/>
      <c r="D197" s="59"/>
      <c r="E197" s="59"/>
      <c r="F197" s="59"/>
      <c r="G197" s="89"/>
      <c r="H197" s="89"/>
      <c r="I197" s="89"/>
      <c r="J197" s="60"/>
      <c r="K197" s="60"/>
      <c r="L197" s="89"/>
      <c r="M197" s="45"/>
      <c r="N197" s="45"/>
      <c r="O197" s="45"/>
      <c r="P197" s="45"/>
      <c r="Q197" s="45"/>
      <c r="R197" s="45"/>
      <c r="S197" s="45"/>
      <c r="T197" s="45"/>
      <c r="U197" s="45"/>
      <c r="V197" s="45"/>
      <c r="W197" s="45"/>
      <c r="X197" s="45"/>
      <c r="Y197" s="45"/>
      <c r="Z197" s="45"/>
      <c r="AA197" s="45"/>
      <c r="AB197" s="45"/>
      <c r="AC197" s="45"/>
      <c r="AD197" s="45"/>
      <c r="AE197" s="45"/>
      <c r="IN197" s="61"/>
    </row>
    <row r="198" spans="1:248" ht="60">
      <c r="A198" s="57"/>
      <c r="B198" s="85" t="s">
        <v>370</v>
      </c>
      <c r="C198" s="114"/>
      <c r="D198" s="59"/>
      <c r="E198" s="59"/>
      <c r="F198" s="59"/>
      <c r="G198" s="89"/>
      <c r="H198" s="89"/>
      <c r="I198" s="45"/>
      <c r="J198" s="60"/>
      <c r="K198" s="60"/>
      <c r="L198" s="45"/>
      <c r="M198" s="45"/>
      <c r="N198" s="45"/>
      <c r="O198" s="45"/>
      <c r="P198" s="45"/>
      <c r="Q198" s="45"/>
      <c r="R198" s="45"/>
      <c r="S198" s="45"/>
      <c r="T198" s="45"/>
      <c r="U198" s="45"/>
      <c r="V198" s="45"/>
      <c r="W198" s="45"/>
      <c r="X198" s="45"/>
      <c r="Y198" s="45"/>
      <c r="Z198" s="45"/>
      <c r="AA198" s="45"/>
      <c r="AB198" s="45"/>
      <c r="AC198" s="45"/>
      <c r="AD198" s="45"/>
      <c r="AE198" s="45"/>
    </row>
    <row r="199" spans="1:248">
      <c r="A199" s="57"/>
      <c r="B199" s="67" t="s">
        <v>361</v>
      </c>
      <c r="C199" s="114"/>
      <c r="D199" s="59"/>
      <c r="E199" s="59"/>
      <c r="F199" s="59"/>
      <c r="G199" s="89"/>
      <c r="H199" s="89"/>
      <c r="I199" s="45"/>
      <c r="J199" s="60"/>
      <c r="K199" s="60"/>
      <c r="L199" s="45"/>
    </row>
    <row r="200" spans="1:248">
      <c r="A200" s="57" t="s">
        <v>427</v>
      </c>
      <c r="B200" s="88" t="s">
        <v>428</v>
      </c>
      <c r="C200" s="112">
        <f>+C201+C202+C206+C209+C203+C210</f>
        <v>0</v>
      </c>
      <c r="D200" s="112">
        <f t="shared" ref="D200:H200" si="101">+D201+D202+D206+D209+D203+D210</f>
        <v>10949690</v>
      </c>
      <c r="E200" s="112">
        <f t="shared" si="101"/>
        <v>11698740</v>
      </c>
      <c r="F200" s="112">
        <f t="shared" si="101"/>
        <v>11698740</v>
      </c>
      <c r="G200" s="112">
        <f t="shared" si="101"/>
        <v>7471610</v>
      </c>
      <c r="H200" s="112">
        <f t="shared" si="101"/>
        <v>1906036</v>
      </c>
      <c r="I200" s="60"/>
      <c r="J200" s="60"/>
      <c r="K200" s="60"/>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row>
    <row r="201" spans="1:248">
      <c r="A201" s="57"/>
      <c r="B201" s="65" t="s">
        <v>429</v>
      </c>
      <c r="C201" s="114"/>
      <c r="D201" s="59">
        <v>10917430</v>
      </c>
      <c r="E201" s="59">
        <v>11667040</v>
      </c>
      <c r="F201" s="59">
        <v>11667040</v>
      </c>
      <c r="G201" s="89">
        <f>3434569.87+2115040.13+1900000</f>
        <v>7449610</v>
      </c>
      <c r="H201" s="89">
        <v>1900000</v>
      </c>
      <c r="I201" s="60"/>
      <c r="J201" s="60"/>
      <c r="K201" s="60"/>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248" ht="60">
      <c r="A202" s="57"/>
      <c r="B202" s="65" t="s">
        <v>370</v>
      </c>
      <c r="C202" s="114"/>
      <c r="D202" s="59">
        <v>580</v>
      </c>
      <c r="E202" s="59">
        <v>580</v>
      </c>
      <c r="F202" s="59">
        <v>580</v>
      </c>
      <c r="G202" s="89"/>
      <c r="H202" s="89"/>
      <c r="I202" s="60"/>
      <c r="J202" s="60"/>
      <c r="K202" s="60"/>
      <c r="L202" s="61"/>
    </row>
    <row r="203" spans="1:248">
      <c r="A203" s="57"/>
      <c r="B203" s="65" t="s">
        <v>430</v>
      </c>
      <c r="C203" s="114">
        <f t="shared" ref="C203:H203" si="102">C204+C205</f>
        <v>0</v>
      </c>
      <c r="D203" s="114">
        <f t="shared" si="102"/>
        <v>0</v>
      </c>
      <c r="E203" s="114">
        <f t="shared" si="102"/>
        <v>0</v>
      </c>
      <c r="F203" s="114">
        <f t="shared" si="102"/>
        <v>0</v>
      </c>
      <c r="G203" s="114">
        <f t="shared" si="102"/>
        <v>0</v>
      </c>
      <c r="H203" s="114">
        <f t="shared" si="102"/>
        <v>0</v>
      </c>
      <c r="I203" s="60"/>
      <c r="J203" s="60"/>
      <c r="K203" s="60"/>
      <c r="L203" s="61"/>
    </row>
    <row r="204" spans="1:248">
      <c r="A204" s="57"/>
      <c r="B204" s="65" t="s">
        <v>368</v>
      </c>
      <c r="C204" s="114"/>
      <c r="D204" s="59"/>
      <c r="E204" s="59"/>
      <c r="F204" s="59"/>
      <c r="G204" s="89"/>
      <c r="H204" s="89"/>
      <c r="I204" s="60"/>
      <c r="J204" s="60"/>
      <c r="K204" s="60"/>
      <c r="L204" s="61"/>
    </row>
    <row r="205" spans="1:248" ht="60">
      <c r="A205" s="57"/>
      <c r="B205" s="65" t="s">
        <v>370</v>
      </c>
      <c r="C205" s="114"/>
      <c r="D205" s="59"/>
      <c r="E205" s="59"/>
      <c r="F205" s="59"/>
      <c r="G205" s="89"/>
      <c r="H205" s="89"/>
      <c r="I205" s="60"/>
      <c r="J205" s="60"/>
      <c r="K205" s="60"/>
      <c r="L205" s="61"/>
    </row>
    <row r="206" spans="1:248" ht="30">
      <c r="A206" s="57"/>
      <c r="B206" s="65" t="s">
        <v>431</v>
      </c>
      <c r="C206" s="114">
        <f t="shared" ref="C206:H206" si="103">C207+C208</f>
        <v>0</v>
      </c>
      <c r="D206" s="114">
        <f t="shared" si="103"/>
        <v>31680</v>
      </c>
      <c r="E206" s="114">
        <f t="shared" si="103"/>
        <v>31120</v>
      </c>
      <c r="F206" s="114">
        <f t="shared" si="103"/>
        <v>31120</v>
      </c>
      <c r="G206" s="114">
        <f t="shared" si="103"/>
        <v>22000</v>
      </c>
      <c r="H206" s="114">
        <f t="shared" si="103"/>
        <v>6036</v>
      </c>
      <c r="I206" s="60"/>
      <c r="J206" s="60"/>
      <c r="K206" s="60"/>
    </row>
    <row r="207" spans="1:248">
      <c r="A207" s="64"/>
      <c r="B207" s="65" t="s">
        <v>368</v>
      </c>
      <c r="C207" s="114"/>
      <c r="D207" s="59">
        <v>31680</v>
      </c>
      <c r="E207" s="59">
        <v>31120</v>
      </c>
      <c r="F207" s="59">
        <v>31120</v>
      </c>
      <c r="G207" s="89">
        <f>10000+5964+6036</f>
        <v>22000</v>
      </c>
      <c r="H207" s="89">
        <v>6036</v>
      </c>
      <c r="I207" s="60"/>
      <c r="J207" s="60"/>
      <c r="K207" s="60"/>
    </row>
    <row r="208" spans="1:248" ht="60">
      <c r="A208" s="64"/>
      <c r="B208" s="65" t="s">
        <v>370</v>
      </c>
      <c r="C208" s="114"/>
      <c r="D208" s="59"/>
      <c r="E208" s="59"/>
      <c r="F208" s="59"/>
      <c r="G208" s="89"/>
      <c r="H208" s="89"/>
      <c r="I208" s="60"/>
      <c r="J208" s="60"/>
      <c r="K208" s="60"/>
      <c r="IN208" s="61"/>
    </row>
    <row r="209" spans="1:248" ht="30">
      <c r="A209" s="57"/>
      <c r="B209" s="65" t="s">
        <v>432</v>
      </c>
      <c r="C209" s="114"/>
      <c r="D209" s="59"/>
      <c r="E209" s="59"/>
      <c r="F209" s="59"/>
      <c r="G209" s="89"/>
      <c r="H209" s="89"/>
      <c r="I209" s="60"/>
      <c r="J209" s="60"/>
      <c r="K209" s="60"/>
      <c r="IN209" s="61"/>
    </row>
    <row r="210" spans="1:248">
      <c r="A210" s="64"/>
      <c r="B210" s="65" t="s">
        <v>511</v>
      </c>
      <c r="C210" s="114"/>
      <c r="D210" s="59"/>
      <c r="E210" s="59"/>
      <c r="F210" s="59"/>
      <c r="G210" s="89"/>
      <c r="H210" s="89"/>
      <c r="I210" s="60"/>
      <c r="J210" s="60"/>
      <c r="K210" s="60"/>
    </row>
    <row r="211" spans="1:248">
      <c r="A211" s="64"/>
      <c r="B211" s="67" t="s">
        <v>361</v>
      </c>
      <c r="C211" s="114"/>
      <c r="D211" s="59"/>
      <c r="E211" s="59"/>
      <c r="F211" s="59"/>
      <c r="G211" s="89"/>
      <c r="H211" s="89"/>
      <c r="I211" s="60"/>
      <c r="J211" s="60"/>
      <c r="K211" s="60"/>
    </row>
    <row r="212" spans="1:248" ht="16.5" customHeight="1">
      <c r="A212" s="64" t="s">
        <v>433</v>
      </c>
      <c r="B212" s="88" t="s">
        <v>434</v>
      </c>
      <c r="C212" s="114">
        <f>+C213+C214+C215</f>
        <v>0</v>
      </c>
      <c r="D212" s="114">
        <f t="shared" ref="D212:H212" si="104">+D213+D214+D215</f>
        <v>1407000</v>
      </c>
      <c r="E212" s="114">
        <f t="shared" si="104"/>
        <v>1407000</v>
      </c>
      <c r="F212" s="114">
        <f t="shared" si="104"/>
        <v>1407000</v>
      </c>
      <c r="G212" s="114">
        <f t="shared" si="104"/>
        <v>896259</v>
      </c>
      <c r="H212" s="114">
        <f t="shared" si="104"/>
        <v>247259</v>
      </c>
      <c r="J212" s="60"/>
      <c r="K212" s="60"/>
    </row>
    <row r="213" spans="1:248">
      <c r="A213" s="64"/>
      <c r="B213" s="85" t="s">
        <v>416</v>
      </c>
      <c r="C213" s="114"/>
      <c r="D213" s="59">
        <v>1407000</v>
      </c>
      <c r="E213" s="59">
        <v>1407000</v>
      </c>
      <c r="F213" s="59">
        <v>1407000</v>
      </c>
      <c r="G213" s="89">
        <f>444062.5+204937.5+247259</f>
        <v>896259</v>
      </c>
      <c r="H213" s="89">
        <v>247259</v>
      </c>
      <c r="J213" s="60"/>
      <c r="K213" s="60"/>
    </row>
    <row r="214" spans="1:248" ht="30">
      <c r="A214" s="64"/>
      <c r="B214" s="85" t="s">
        <v>426</v>
      </c>
      <c r="C214" s="114"/>
      <c r="D214" s="59"/>
      <c r="E214" s="59"/>
      <c r="F214" s="59"/>
      <c r="G214" s="89"/>
      <c r="H214" s="89"/>
      <c r="J214" s="60"/>
      <c r="K214" s="60"/>
    </row>
    <row r="215" spans="1:248" ht="60">
      <c r="A215" s="64"/>
      <c r="B215" s="85" t="s">
        <v>370</v>
      </c>
      <c r="C215" s="114"/>
      <c r="D215" s="59"/>
      <c r="E215" s="59"/>
      <c r="F215" s="59"/>
      <c r="G215" s="89"/>
      <c r="H215" s="89"/>
      <c r="J215" s="60"/>
      <c r="K215" s="60"/>
    </row>
    <row r="216" spans="1:248">
      <c r="A216" s="64"/>
      <c r="B216" s="67" t="s">
        <v>361</v>
      </c>
      <c r="C216" s="114"/>
      <c r="D216" s="59"/>
      <c r="E216" s="59"/>
      <c r="F216" s="59"/>
      <c r="G216" s="89">
        <v>-15316</v>
      </c>
      <c r="H216" s="89">
        <v>-15316</v>
      </c>
      <c r="J216" s="60"/>
      <c r="K216" s="60"/>
    </row>
    <row r="217" spans="1:248">
      <c r="A217" s="64" t="s">
        <v>435</v>
      </c>
      <c r="B217" s="62" t="s">
        <v>436</v>
      </c>
      <c r="C217" s="114">
        <f t="shared" ref="C217:H217" si="105">C218+C219</f>
        <v>0</v>
      </c>
      <c r="D217" s="114">
        <f t="shared" si="105"/>
        <v>66000</v>
      </c>
      <c r="E217" s="114">
        <f t="shared" si="105"/>
        <v>66000</v>
      </c>
      <c r="F217" s="114">
        <f t="shared" si="105"/>
        <v>66000</v>
      </c>
      <c r="G217" s="114">
        <f t="shared" si="105"/>
        <v>52206.57</v>
      </c>
      <c r="H217" s="114">
        <f t="shared" si="105"/>
        <v>15206.57</v>
      </c>
      <c r="J217" s="60"/>
      <c r="K217" s="60"/>
    </row>
    <row r="218" spans="1:248">
      <c r="A218" s="64"/>
      <c r="B218" s="90" t="s">
        <v>368</v>
      </c>
      <c r="C218" s="114"/>
      <c r="D218" s="59">
        <v>66000</v>
      </c>
      <c r="E218" s="59">
        <v>66000</v>
      </c>
      <c r="F218" s="59">
        <v>66000</v>
      </c>
      <c r="G218" s="125">
        <f>22000+15000+15206.57</f>
        <v>52206.57</v>
      </c>
      <c r="H218" s="125">
        <v>15206.57</v>
      </c>
      <c r="J218" s="60"/>
      <c r="K218" s="60"/>
    </row>
    <row r="219" spans="1:248" ht="60">
      <c r="A219" s="64"/>
      <c r="B219" s="90" t="s">
        <v>370</v>
      </c>
      <c r="C219" s="114"/>
      <c r="D219" s="59"/>
      <c r="E219" s="59"/>
      <c r="F219" s="59"/>
      <c r="G219" s="125"/>
      <c r="H219" s="125"/>
      <c r="J219" s="60"/>
      <c r="K219" s="60"/>
    </row>
    <row r="220" spans="1:248">
      <c r="A220" s="64"/>
      <c r="B220" s="67" t="s">
        <v>361</v>
      </c>
      <c r="C220" s="114"/>
      <c r="D220" s="59"/>
      <c r="E220" s="59"/>
      <c r="F220" s="59"/>
      <c r="G220" s="125"/>
      <c r="H220" s="125"/>
      <c r="J220" s="60"/>
      <c r="K220" s="60"/>
    </row>
    <row r="221" spans="1:248">
      <c r="A221" s="64" t="s">
        <v>437</v>
      </c>
      <c r="B221" s="62" t="s">
        <v>438</v>
      </c>
      <c r="C221" s="113">
        <f>+C222+C240</f>
        <v>0</v>
      </c>
      <c r="D221" s="113">
        <f t="shared" ref="D221:H221" si="106">+D222+D240</f>
        <v>174183520</v>
      </c>
      <c r="E221" s="113">
        <f t="shared" si="106"/>
        <v>170200600</v>
      </c>
      <c r="F221" s="113">
        <f t="shared" si="106"/>
        <v>170200600</v>
      </c>
      <c r="G221" s="113">
        <f t="shared" si="106"/>
        <v>87331944.290000007</v>
      </c>
      <c r="H221" s="113">
        <f t="shared" si="106"/>
        <v>18702553</v>
      </c>
      <c r="I221" s="91"/>
      <c r="J221" s="60"/>
      <c r="K221" s="60"/>
    </row>
    <row r="222" spans="1:248">
      <c r="A222" s="64" t="s">
        <v>439</v>
      </c>
      <c r="B222" s="62" t="s">
        <v>440</v>
      </c>
      <c r="C222" s="114">
        <f>C223+C226+C227+C228+C229+C232+C235+C238</f>
        <v>0</v>
      </c>
      <c r="D222" s="114">
        <f t="shared" ref="D222:H222" si="107">D223+D226+D227+D228+D229+D232+D235+D238</f>
        <v>169797600</v>
      </c>
      <c r="E222" s="114">
        <f t="shared" si="107"/>
        <v>166089600</v>
      </c>
      <c r="F222" s="114">
        <f t="shared" si="107"/>
        <v>166089600</v>
      </c>
      <c r="G222" s="114">
        <f t="shared" si="107"/>
        <v>84590194.290000007</v>
      </c>
      <c r="H222" s="114">
        <f t="shared" si="107"/>
        <v>17919963</v>
      </c>
      <c r="I222" s="91"/>
      <c r="J222" s="60"/>
      <c r="K222" s="60"/>
    </row>
    <row r="223" spans="1:248">
      <c r="A223" s="64"/>
      <c r="B223" s="65" t="s">
        <v>515</v>
      </c>
      <c r="C223" s="114">
        <f>C224+C225</f>
        <v>0</v>
      </c>
      <c r="D223" s="114">
        <v>164110390</v>
      </c>
      <c r="E223" s="114">
        <v>160363390</v>
      </c>
      <c r="F223" s="114">
        <v>160363390</v>
      </c>
      <c r="G223" s="114">
        <f t="shared" ref="G223:H223" si="108">G224+G225</f>
        <v>81732390</v>
      </c>
      <c r="H223" s="114">
        <f t="shared" si="108"/>
        <v>17000000</v>
      </c>
      <c r="I223" s="91"/>
      <c r="J223" s="60"/>
      <c r="K223" s="60"/>
    </row>
    <row r="224" spans="1:248">
      <c r="A224" s="64"/>
      <c r="B224" s="120" t="s">
        <v>516</v>
      </c>
      <c r="C224" s="114"/>
      <c r="D224" s="59">
        <v>163010390</v>
      </c>
      <c r="E224" s="59">
        <v>159163390</v>
      </c>
      <c r="F224" s="59">
        <v>159163390</v>
      </c>
      <c r="G224" s="89">
        <f>45732390-190473.92+18842334.51+16842921.17</f>
        <v>81227171.760000005</v>
      </c>
      <c r="H224" s="89">
        <v>16842921.170000002</v>
      </c>
      <c r="I224" s="91"/>
      <c r="J224" s="60"/>
      <c r="K224" s="60"/>
    </row>
    <row r="225" spans="1:11">
      <c r="A225" s="64"/>
      <c r="B225" s="120" t="s">
        <v>517</v>
      </c>
      <c r="C225" s="114"/>
      <c r="D225" s="59">
        <v>1100000</v>
      </c>
      <c r="E225" s="59">
        <v>1200000</v>
      </c>
      <c r="F225" s="59">
        <v>1200000</v>
      </c>
      <c r="G225" s="89">
        <f>86834.4+103639.52+157665.49+157078.83</f>
        <v>505218.24</v>
      </c>
      <c r="H225" s="89">
        <v>157078.82999999999</v>
      </c>
      <c r="I225" s="91"/>
      <c r="J225" s="60"/>
      <c r="K225" s="60"/>
    </row>
    <row r="226" spans="1:11" ht="60">
      <c r="A226" s="64"/>
      <c r="B226" s="65" t="s">
        <v>370</v>
      </c>
      <c r="C226" s="114"/>
      <c r="D226" s="59">
        <v>16210</v>
      </c>
      <c r="E226" s="59">
        <v>16210</v>
      </c>
      <c r="F226" s="59">
        <v>16210</v>
      </c>
      <c r="G226" s="89">
        <f>5568.03+3423.26</f>
        <v>8991.2900000000009</v>
      </c>
      <c r="H226" s="89">
        <v>0</v>
      </c>
      <c r="I226" s="91"/>
      <c r="J226" s="60"/>
      <c r="K226" s="60"/>
    </row>
    <row r="227" spans="1:11" ht="30">
      <c r="A227" s="64"/>
      <c r="B227" s="65" t="s">
        <v>444</v>
      </c>
      <c r="C227" s="114"/>
      <c r="D227" s="59"/>
      <c r="E227" s="59"/>
      <c r="F227" s="59"/>
      <c r="G227" s="89"/>
      <c r="H227" s="89"/>
      <c r="I227" s="91"/>
      <c r="J227" s="60"/>
      <c r="K227" s="60"/>
    </row>
    <row r="228" spans="1:11">
      <c r="A228" s="64"/>
      <c r="B228" s="65" t="s">
        <v>445</v>
      </c>
      <c r="C228" s="114"/>
      <c r="D228" s="59">
        <v>5671000</v>
      </c>
      <c r="E228" s="59">
        <v>5710000</v>
      </c>
      <c r="F228" s="59">
        <v>5710000</v>
      </c>
      <c r="G228" s="89">
        <f>1853093+75757+919963</f>
        <v>2848813</v>
      </c>
      <c r="H228" s="89">
        <v>919963</v>
      </c>
      <c r="I228" s="91"/>
      <c r="J228" s="60"/>
      <c r="K228" s="60"/>
    </row>
    <row r="229" spans="1:11" ht="45">
      <c r="A229" s="64"/>
      <c r="B229" s="65" t="s">
        <v>441</v>
      </c>
      <c r="C229" s="114">
        <f t="shared" ref="C229:H229" si="109">C230+C231</f>
        <v>0</v>
      </c>
      <c r="D229" s="114">
        <f t="shared" si="109"/>
        <v>0</v>
      </c>
      <c r="E229" s="114">
        <f t="shared" si="109"/>
        <v>0</v>
      </c>
      <c r="F229" s="114">
        <f t="shared" si="109"/>
        <v>0</v>
      </c>
      <c r="G229" s="114">
        <f t="shared" si="109"/>
        <v>0</v>
      </c>
      <c r="H229" s="114">
        <f t="shared" si="109"/>
        <v>0</v>
      </c>
      <c r="I229" s="91"/>
      <c r="J229" s="60"/>
      <c r="K229" s="60"/>
    </row>
    <row r="230" spans="1:11">
      <c r="A230" s="64"/>
      <c r="B230" s="65" t="s">
        <v>372</v>
      </c>
      <c r="C230" s="114"/>
      <c r="D230" s="59"/>
      <c r="E230" s="59"/>
      <c r="F230" s="59"/>
      <c r="G230" s="89"/>
      <c r="H230" s="89"/>
      <c r="I230" s="91"/>
      <c r="J230" s="60"/>
      <c r="K230" s="60"/>
    </row>
    <row r="231" spans="1:11" ht="60">
      <c r="A231" s="64"/>
      <c r="B231" s="65" t="s">
        <v>370</v>
      </c>
      <c r="C231" s="114"/>
      <c r="D231" s="59"/>
      <c r="E231" s="59"/>
      <c r="F231" s="59"/>
      <c r="G231" s="89"/>
      <c r="H231" s="89"/>
      <c r="I231" s="91"/>
      <c r="J231" s="60"/>
      <c r="K231" s="60"/>
    </row>
    <row r="232" spans="1:11" ht="30">
      <c r="B232" s="65" t="s">
        <v>442</v>
      </c>
      <c r="C232" s="114">
        <f>C233+C234</f>
        <v>0</v>
      </c>
      <c r="D232" s="114">
        <f t="shared" ref="D232:H232" si="110">D233+D234</f>
        <v>0</v>
      </c>
      <c r="E232" s="114">
        <f t="shared" si="110"/>
        <v>0</v>
      </c>
      <c r="F232" s="114">
        <f t="shared" si="110"/>
        <v>0</v>
      </c>
      <c r="G232" s="114">
        <f t="shared" si="110"/>
        <v>0</v>
      </c>
      <c r="H232" s="114">
        <f t="shared" si="110"/>
        <v>0</v>
      </c>
      <c r="J232" s="60"/>
      <c r="K232" s="60"/>
    </row>
    <row r="233" spans="1:11">
      <c r="B233" s="65" t="s">
        <v>372</v>
      </c>
      <c r="C233" s="114"/>
      <c r="D233" s="59"/>
      <c r="E233" s="59"/>
      <c r="F233" s="59"/>
      <c r="G233" s="125"/>
      <c r="H233" s="125"/>
      <c r="J233" s="60"/>
      <c r="K233" s="60"/>
    </row>
    <row r="234" spans="1:11" ht="60">
      <c r="B234" s="65" t="s">
        <v>370</v>
      </c>
      <c r="C234" s="114"/>
      <c r="D234" s="59"/>
      <c r="E234" s="59"/>
      <c r="F234" s="59"/>
      <c r="G234" s="125"/>
      <c r="H234" s="125"/>
      <c r="J234" s="60"/>
      <c r="K234" s="60"/>
    </row>
    <row r="235" spans="1:11">
      <c r="B235" s="92" t="s">
        <v>443</v>
      </c>
      <c r="C235" s="114">
        <f t="shared" ref="C235:H235" si="111">C236+C237</f>
        <v>0</v>
      </c>
      <c r="D235" s="114">
        <f t="shared" si="111"/>
        <v>0</v>
      </c>
      <c r="E235" s="114">
        <f t="shared" si="111"/>
        <v>0</v>
      </c>
      <c r="F235" s="114">
        <f t="shared" si="111"/>
        <v>0</v>
      </c>
      <c r="G235" s="114">
        <f t="shared" si="111"/>
        <v>0</v>
      </c>
      <c r="H235" s="114">
        <f t="shared" si="111"/>
        <v>0</v>
      </c>
      <c r="J235" s="60"/>
      <c r="K235" s="60"/>
    </row>
    <row r="236" spans="1:11">
      <c r="B236" s="92" t="s">
        <v>372</v>
      </c>
      <c r="C236" s="114"/>
      <c r="D236" s="59"/>
      <c r="E236" s="59"/>
      <c r="F236" s="59"/>
      <c r="G236" s="89"/>
      <c r="H236" s="89"/>
      <c r="J236" s="60"/>
      <c r="K236" s="60"/>
    </row>
    <row r="237" spans="1:11" ht="60">
      <c r="B237" s="92" t="s">
        <v>370</v>
      </c>
      <c r="C237" s="114"/>
      <c r="D237" s="59"/>
      <c r="E237" s="59"/>
      <c r="F237" s="59"/>
      <c r="G237" s="89"/>
      <c r="H237" s="89"/>
      <c r="J237" s="60"/>
      <c r="K237" s="60"/>
    </row>
    <row r="238" spans="1:11">
      <c r="B238" s="92" t="s">
        <v>512</v>
      </c>
      <c r="C238" s="114"/>
      <c r="D238" s="59"/>
      <c r="E238" s="59"/>
      <c r="F238" s="59"/>
      <c r="G238" s="89"/>
      <c r="H238" s="89"/>
      <c r="J238" s="60"/>
      <c r="K238" s="60"/>
    </row>
    <row r="239" spans="1:11">
      <c r="B239" s="67" t="s">
        <v>361</v>
      </c>
      <c r="C239" s="114"/>
      <c r="D239" s="59"/>
      <c r="E239" s="59"/>
      <c r="F239" s="59"/>
      <c r="G239" s="89">
        <f>-5274.46-7267.15-34353.17-18536.33</f>
        <v>-65431.11</v>
      </c>
      <c r="H239" s="89">
        <v>-18536.330000000002</v>
      </c>
      <c r="J239" s="60"/>
      <c r="K239" s="60"/>
    </row>
    <row r="240" spans="1:11">
      <c r="A240" s="41" t="s">
        <v>446</v>
      </c>
      <c r="B240" s="62" t="s">
        <v>447</v>
      </c>
      <c r="C240" s="114">
        <f t="shared" ref="C240:H240" si="112">C241+C242+C243+C244</f>
        <v>0</v>
      </c>
      <c r="D240" s="114">
        <f t="shared" si="112"/>
        <v>4385920</v>
      </c>
      <c r="E240" s="114">
        <f t="shared" si="112"/>
        <v>4111000</v>
      </c>
      <c r="F240" s="114">
        <f t="shared" si="112"/>
        <v>4111000</v>
      </c>
      <c r="G240" s="114">
        <f t="shared" si="112"/>
        <v>2741750</v>
      </c>
      <c r="H240" s="114">
        <f t="shared" si="112"/>
        <v>782590</v>
      </c>
      <c r="J240" s="60"/>
      <c r="K240" s="60"/>
    </row>
    <row r="241" spans="1:11">
      <c r="B241" s="65" t="s">
        <v>368</v>
      </c>
      <c r="C241" s="114"/>
      <c r="D241" s="59">
        <v>3734000</v>
      </c>
      <c r="E241" s="59">
        <v>3433000</v>
      </c>
      <c r="F241" s="59">
        <v>3433000</v>
      </c>
      <c r="G241" s="89">
        <f>1144000+572170+650000</f>
        <v>2366170</v>
      </c>
      <c r="H241" s="89">
        <v>650000</v>
      </c>
      <c r="J241" s="60"/>
      <c r="K241" s="60"/>
    </row>
    <row r="242" spans="1:11">
      <c r="B242" s="93" t="s">
        <v>448</v>
      </c>
      <c r="C242" s="114"/>
      <c r="D242" s="59"/>
      <c r="E242" s="59"/>
      <c r="F242" s="59"/>
      <c r="G242" s="89"/>
      <c r="H242" s="89"/>
      <c r="J242" s="60"/>
      <c r="K242" s="60"/>
    </row>
    <row r="243" spans="1:11" ht="60">
      <c r="B243" s="93" t="s">
        <v>370</v>
      </c>
      <c r="C243" s="114"/>
      <c r="D243" s="59"/>
      <c r="E243" s="59"/>
      <c r="F243" s="59"/>
      <c r="G243" s="89"/>
      <c r="H243" s="89"/>
      <c r="J243" s="60"/>
      <c r="K243" s="60"/>
    </row>
    <row r="244" spans="1:11">
      <c r="B244" s="93" t="s">
        <v>445</v>
      </c>
      <c r="C244" s="114"/>
      <c r="D244" s="59">
        <v>651920</v>
      </c>
      <c r="E244" s="59">
        <v>678000</v>
      </c>
      <c r="F244" s="59">
        <v>678000</v>
      </c>
      <c r="G244" s="89">
        <f>240911+2079+132590</f>
        <v>375580</v>
      </c>
      <c r="H244" s="89">
        <v>132590</v>
      </c>
      <c r="J244" s="60"/>
      <c r="K244" s="60"/>
    </row>
    <row r="245" spans="1:11">
      <c r="B245" s="67" t="s">
        <v>361</v>
      </c>
      <c r="C245" s="114"/>
      <c r="D245" s="59"/>
      <c r="E245" s="59"/>
      <c r="F245" s="59"/>
      <c r="G245" s="89"/>
      <c r="H245" s="89"/>
      <c r="J245" s="60"/>
      <c r="K245" s="60"/>
    </row>
    <row r="246" spans="1:11">
      <c r="A246" s="41" t="s">
        <v>449</v>
      </c>
      <c r="B246" s="67" t="s">
        <v>450</v>
      </c>
      <c r="C246" s="114"/>
      <c r="D246" s="59">
        <v>114000</v>
      </c>
      <c r="E246" s="59">
        <v>114000</v>
      </c>
      <c r="F246" s="59">
        <v>114000</v>
      </c>
      <c r="G246" s="89">
        <f>35747.5+18252.5+18000</f>
        <v>72000</v>
      </c>
      <c r="H246" s="89">
        <v>18000</v>
      </c>
      <c r="J246" s="60"/>
      <c r="K246" s="60"/>
    </row>
    <row r="247" spans="1:11">
      <c r="B247" s="67" t="s">
        <v>361</v>
      </c>
      <c r="C247" s="114"/>
      <c r="D247" s="59"/>
      <c r="E247" s="59"/>
      <c r="F247" s="59"/>
      <c r="G247" s="89"/>
      <c r="H247" s="89"/>
      <c r="J247" s="60"/>
      <c r="K247" s="60"/>
    </row>
    <row r="248" spans="1:11">
      <c r="A248" s="41" t="s">
        <v>451</v>
      </c>
      <c r="B248" s="67" t="s">
        <v>452</v>
      </c>
      <c r="C248" s="114"/>
      <c r="D248" s="59">
        <v>3252740</v>
      </c>
      <c r="E248" s="59">
        <v>3252740</v>
      </c>
      <c r="F248" s="59">
        <v>3252740</v>
      </c>
      <c r="G248" s="89">
        <f>1604013.94+313446.35+1335275.83</f>
        <v>3252736.12</v>
      </c>
      <c r="H248" s="89">
        <v>1335275.83</v>
      </c>
      <c r="J248" s="60"/>
      <c r="K248" s="60"/>
    </row>
    <row r="249" spans="1:11">
      <c r="B249" s="67" t="s">
        <v>361</v>
      </c>
      <c r="C249" s="114"/>
      <c r="D249" s="59"/>
      <c r="E249" s="59"/>
      <c r="F249" s="59"/>
      <c r="G249" s="89">
        <f>-3136.11-59862.17-71425.06</f>
        <v>-134423.34</v>
      </c>
      <c r="H249" s="89">
        <v>-71425.06</v>
      </c>
      <c r="J249" s="60"/>
      <c r="K249" s="60"/>
    </row>
    <row r="250" spans="1:11">
      <c r="B250" s="62" t="s">
        <v>453</v>
      </c>
      <c r="C250" s="114">
        <f>C87+C105+C141+C169+C173+C177+C189+C194+C199+C211+C216+C220+C239+C245+C247+C249</f>
        <v>0</v>
      </c>
      <c r="D250" s="114">
        <f t="shared" ref="D250:H250" si="113">D87+D105+D141+D169+D173+D177+D189+D194+D199+D211+D216+D220+D239+D245+D247+D249</f>
        <v>0</v>
      </c>
      <c r="E250" s="114">
        <f t="shared" si="113"/>
        <v>0</v>
      </c>
      <c r="F250" s="114">
        <f t="shared" si="113"/>
        <v>0</v>
      </c>
      <c r="G250" s="114">
        <f t="shared" si="113"/>
        <v>-248189.68</v>
      </c>
      <c r="H250" s="114">
        <f t="shared" si="113"/>
        <v>-106357.25</v>
      </c>
      <c r="J250" s="60"/>
      <c r="K250" s="60"/>
    </row>
    <row r="251" spans="1:11" ht="30">
      <c r="A251" s="41" t="s">
        <v>224</v>
      </c>
      <c r="B251" s="62" t="s">
        <v>225</v>
      </c>
      <c r="C251" s="114">
        <f t="shared" ref="C251:H252" si="114">C252</f>
        <v>0</v>
      </c>
      <c r="D251" s="114">
        <f t="shared" si="114"/>
        <v>269732620</v>
      </c>
      <c r="E251" s="114">
        <f t="shared" si="114"/>
        <v>269732620</v>
      </c>
      <c r="F251" s="114">
        <f t="shared" si="114"/>
        <v>164475280</v>
      </c>
      <c r="G251" s="114">
        <f t="shared" si="114"/>
        <v>109856554</v>
      </c>
      <c r="H251" s="114">
        <f t="shared" si="114"/>
        <v>27306300</v>
      </c>
      <c r="J251" s="60"/>
      <c r="K251" s="60"/>
    </row>
    <row r="252" spans="1:11">
      <c r="A252" s="41" t="s">
        <v>454</v>
      </c>
      <c r="B252" s="62" t="s">
        <v>455</v>
      </c>
      <c r="C252" s="114">
        <f>C253</f>
        <v>0</v>
      </c>
      <c r="D252" s="114">
        <f t="shared" si="114"/>
        <v>269732620</v>
      </c>
      <c r="E252" s="114">
        <f t="shared" si="114"/>
        <v>269732620</v>
      </c>
      <c r="F252" s="114">
        <f t="shared" si="114"/>
        <v>164475280</v>
      </c>
      <c r="G252" s="114">
        <f t="shared" si="114"/>
        <v>109856554</v>
      </c>
      <c r="H252" s="114">
        <f t="shared" si="114"/>
        <v>27306300</v>
      </c>
      <c r="J252" s="60"/>
      <c r="K252" s="60"/>
    </row>
    <row r="253" spans="1:11" ht="45">
      <c r="A253" s="41" t="s">
        <v>456</v>
      </c>
      <c r="B253" s="62" t="s">
        <v>457</v>
      </c>
      <c r="C253" s="114">
        <f>C254+C255+C256+C257</f>
        <v>0</v>
      </c>
      <c r="D253" s="114">
        <f>D254+D255+D256+D257+D261</f>
        <v>269732620</v>
      </c>
      <c r="E253" s="114">
        <f t="shared" ref="E253:H253" si="115">E254+E255+E256+E257+E261</f>
        <v>269732620</v>
      </c>
      <c r="F253" s="114">
        <f t="shared" si="115"/>
        <v>164475280</v>
      </c>
      <c r="G253" s="114">
        <f t="shared" si="115"/>
        <v>109856554</v>
      </c>
      <c r="H253" s="114">
        <f t="shared" si="115"/>
        <v>27306300</v>
      </c>
      <c r="J253" s="60"/>
      <c r="K253" s="60"/>
    </row>
    <row r="254" spans="1:11" ht="30">
      <c r="B254" s="67" t="s">
        <v>458</v>
      </c>
      <c r="C254" s="114"/>
      <c r="D254" s="59">
        <v>239692000</v>
      </c>
      <c r="E254" s="59">
        <v>239692000</v>
      </c>
      <c r="F254" s="59">
        <v>146353880</v>
      </c>
      <c r="G254" s="114">
        <f>50081039+23749876+24282362</f>
        <v>98113277</v>
      </c>
      <c r="H254" s="114">
        <v>24282362</v>
      </c>
      <c r="J254" s="60"/>
      <c r="K254" s="60"/>
    </row>
    <row r="255" spans="1:11" ht="45">
      <c r="B255" s="67" t="s">
        <v>459</v>
      </c>
      <c r="C255" s="114"/>
      <c r="D255" s="59">
        <v>1730000</v>
      </c>
      <c r="E255" s="59">
        <v>1730000</v>
      </c>
      <c r="F255" s="59">
        <v>1021040</v>
      </c>
      <c r="G255" s="114">
        <f>303282+238751+144622</f>
        <v>686655</v>
      </c>
      <c r="H255" s="114">
        <v>144622</v>
      </c>
      <c r="J255" s="60"/>
      <c r="K255" s="60"/>
    </row>
    <row r="256" spans="1:11" ht="45">
      <c r="B256" s="67" t="s">
        <v>460</v>
      </c>
      <c r="C256" s="114"/>
      <c r="D256" s="59">
        <v>490000</v>
      </c>
      <c r="E256" s="59">
        <v>490000</v>
      </c>
      <c r="F256" s="59">
        <v>315410</v>
      </c>
      <c r="G256" s="114">
        <f>100593+64809+50687</f>
        <v>216089</v>
      </c>
      <c r="H256" s="114">
        <v>50687</v>
      </c>
      <c r="J256" s="60"/>
      <c r="K256" s="60"/>
    </row>
    <row r="257" spans="1:11" ht="45">
      <c r="B257" s="67" t="s">
        <v>461</v>
      </c>
      <c r="C257" s="114">
        <f t="shared" ref="C257:H257" si="116">C258+C259+C260</f>
        <v>0</v>
      </c>
      <c r="D257" s="114">
        <f t="shared" si="116"/>
        <v>25840000</v>
      </c>
      <c r="E257" s="114">
        <f t="shared" ref="E257" si="117">E258+E259+E260</f>
        <v>25840000</v>
      </c>
      <c r="F257" s="114">
        <f t="shared" ref="F257" si="118">F258+F259+F260</f>
        <v>14804330</v>
      </c>
      <c r="G257" s="114">
        <f t="shared" si="116"/>
        <v>8971710</v>
      </c>
      <c r="H257" s="114">
        <f t="shared" si="116"/>
        <v>2171385</v>
      </c>
      <c r="J257" s="60"/>
      <c r="K257" s="60"/>
    </row>
    <row r="258" spans="1:11" ht="90">
      <c r="B258" s="67" t="s">
        <v>462</v>
      </c>
      <c r="C258" s="114"/>
      <c r="D258" s="59">
        <v>8660000</v>
      </c>
      <c r="E258" s="59">
        <v>8660000</v>
      </c>
      <c r="F258" s="59">
        <v>4954360</v>
      </c>
      <c r="G258" s="114">
        <f>1516771+714587+717680</f>
        <v>2949038</v>
      </c>
      <c r="H258" s="114">
        <v>717680</v>
      </c>
      <c r="J258" s="60"/>
      <c r="K258" s="60"/>
    </row>
    <row r="259" spans="1:11" ht="75">
      <c r="B259" s="67" t="s">
        <v>463</v>
      </c>
      <c r="C259" s="114"/>
      <c r="D259" s="59">
        <v>9750000</v>
      </c>
      <c r="E259" s="59">
        <v>9750000</v>
      </c>
      <c r="F259" s="59">
        <v>5440290</v>
      </c>
      <c r="G259" s="114">
        <f>1652285+757005+758658</f>
        <v>3167948</v>
      </c>
      <c r="H259" s="114">
        <v>758658</v>
      </c>
      <c r="J259" s="60"/>
      <c r="K259" s="60"/>
    </row>
    <row r="260" spans="1:11" ht="60">
      <c r="B260" s="67" t="s">
        <v>464</v>
      </c>
      <c r="C260" s="114"/>
      <c r="D260" s="59">
        <v>7430000</v>
      </c>
      <c r="E260" s="59">
        <v>7430000</v>
      </c>
      <c r="F260" s="59">
        <v>4409680</v>
      </c>
      <c r="G260" s="114">
        <f>1465196+694481+695047</f>
        <v>2854724</v>
      </c>
      <c r="H260" s="114">
        <v>695047</v>
      </c>
      <c r="J260" s="60"/>
      <c r="K260" s="60"/>
    </row>
    <row r="261" spans="1:11" ht="120">
      <c r="B261" s="67" t="s">
        <v>519</v>
      </c>
      <c r="C261" s="114"/>
      <c r="D261" s="59">
        <v>1980620</v>
      </c>
      <c r="E261" s="59">
        <v>1980620</v>
      </c>
      <c r="F261" s="59">
        <v>1980620</v>
      </c>
      <c r="G261" s="114">
        <f>665254+546325+657244</f>
        <v>1868823</v>
      </c>
      <c r="H261" s="114">
        <v>657244</v>
      </c>
      <c r="J261" s="60"/>
      <c r="K261" s="60"/>
    </row>
    <row r="262" spans="1:11">
      <c r="A262" s="41" t="s">
        <v>465</v>
      </c>
      <c r="B262" s="94" t="s">
        <v>466</v>
      </c>
      <c r="C262" s="117">
        <f>+C263</f>
        <v>0</v>
      </c>
      <c r="D262" s="117">
        <f t="shared" ref="D262:H264" si="119">+D263</f>
        <v>34402000</v>
      </c>
      <c r="E262" s="117">
        <f t="shared" si="119"/>
        <v>34402000</v>
      </c>
      <c r="F262" s="117">
        <f t="shared" si="119"/>
        <v>26453000</v>
      </c>
      <c r="G262" s="117">
        <f t="shared" si="119"/>
        <v>22540433</v>
      </c>
      <c r="H262" s="117">
        <f t="shared" si="119"/>
        <v>4985695</v>
      </c>
      <c r="I262" s="91"/>
      <c r="J262" s="60"/>
      <c r="K262" s="60"/>
    </row>
    <row r="263" spans="1:11">
      <c r="A263" s="41" t="s">
        <v>467</v>
      </c>
      <c r="B263" s="94" t="s">
        <v>217</v>
      </c>
      <c r="C263" s="117">
        <f>+C264</f>
        <v>0</v>
      </c>
      <c r="D263" s="117">
        <f t="shared" si="119"/>
        <v>34402000</v>
      </c>
      <c r="E263" s="117">
        <f t="shared" si="119"/>
        <v>34402000</v>
      </c>
      <c r="F263" s="117">
        <f t="shared" si="119"/>
        <v>26453000</v>
      </c>
      <c r="G263" s="117">
        <f t="shared" si="119"/>
        <v>22540433</v>
      </c>
      <c r="H263" s="117">
        <f t="shared" si="119"/>
        <v>4985695</v>
      </c>
      <c r="I263" s="91"/>
      <c r="J263" s="60"/>
      <c r="K263" s="60"/>
    </row>
    <row r="264" spans="1:11">
      <c r="A264" s="41" t="s">
        <v>468</v>
      </c>
      <c r="B264" s="62" t="s">
        <v>469</v>
      </c>
      <c r="C264" s="117">
        <f>+C265</f>
        <v>0</v>
      </c>
      <c r="D264" s="117">
        <f t="shared" si="119"/>
        <v>34402000</v>
      </c>
      <c r="E264" s="117">
        <f t="shared" si="119"/>
        <v>34402000</v>
      </c>
      <c r="F264" s="117">
        <f t="shared" si="119"/>
        <v>26453000</v>
      </c>
      <c r="G264" s="117">
        <f t="shared" si="119"/>
        <v>22540433</v>
      </c>
      <c r="H264" s="117">
        <f t="shared" si="119"/>
        <v>4985695</v>
      </c>
      <c r="I264" s="91"/>
      <c r="J264" s="60"/>
      <c r="K264" s="60"/>
    </row>
    <row r="265" spans="1:11">
      <c r="A265" s="41" t="s">
        <v>470</v>
      </c>
      <c r="B265" s="94" t="s">
        <v>471</v>
      </c>
      <c r="C265" s="113">
        <f t="shared" ref="C265:H265" si="120">C266</f>
        <v>0</v>
      </c>
      <c r="D265" s="113">
        <f t="shared" si="120"/>
        <v>34402000</v>
      </c>
      <c r="E265" s="113">
        <f t="shared" si="120"/>
        <v>34402000</v>
      </c>
      <c r="F265" s="113">
        <f t="shared" si="120"/>
        <v>26453000</v>
      </c>
      <c r="G265" s="113">
        <f t="shared" si="120"/>
        <v>22540433</v>
      </c>
      <c r="H265" s="113">
        <f t="shared" si="120"/>
        <v>4985695</v>
      </c>
      <c r="I265" s="91"/>
      <c r="J265" s="60"/>
      <c r="K265" s="60"/>
    </row>
    <row r="266" spans="1:11">
      <c r="A266" s="41" t="s">
        <v>472</v>
      </c>
      <c r="B266" s="94" t="s">
        <v>473</v>
      </c>
      <c r="C266" s="113">
        <f t="shared" ref="C266:H266" si="121">C268+C269+C270</f>
        <v>0</v>
      </c>
      <c r="D266" s="113">
        <f t="shared" si="121"/>
        <v>34402000</v>
      </c>
      <c r="E266" s="113">
        <f t="shared" si="121"/>
        <v>34402000</v>
      </c>
      <c r="F266" s="113">
        <f t="shared" si="121"/>
        <v>26453000</v>
      </c>
      <c r="G266" s="113">
        <f t="shared" si="121"/>
        <v>22540433</v>
      </c>
      <c r="H266" s="113">
        <f t="shared" si="121"/>
        <v>4985695</v>
      </c>
      <c r="I266" s="91"/>
      <c r="J266" s="60"/>
      <c r="K266" s="60"/>
    </row>
    <row r="267" spans="1:11">
      <c r="A267" s="41" t="s">
        <v>474</v>
      </c>
      <c r="B267" s="94" t="s">
        <v>475</v>
      </c>
      <c r="C267" s="113">
        <f t="shared" ref="C267:H267" si="122">C268</f>
        <v>0</v>
      </c>
      <c r="D267" s="113">
        <f t="shared" si="122"/>
        <v>19525000</v>
      </c>
      <c r="E267" s="113">
        <f t="shared" si="122"/>
        <v>19525000</v>
      </c>
      <c r="F267" s="113">
        <f t="shared" si="122"/>
        <v>18574000</v>
      </c>
      <c r="G267" s="113">
        <f t="shared" si="122"/>
        <v>16112058</v>
      </c>
      <c r="H267" s="113">
        <f t="shared" si="122"/>
        <v>3122312</v>
      </c>
      <c r="J267" s="60"/>
      <c r="K267" s="60"/>
    </row>
    <row r="268" spans="1:11">
      <c r="A268" s="41" t="s">
        <v>476</v>
      </c>
      <c r="B268" s="95" t="s">
        <v>477</v>
      </c>
      <c r="C268" s="114"/>
      <c r="D268" s="59">
        <v>19525000</v>
      </c>
      <c r="E268" s="59">
        <v>19525000</v>
      </c>
      <c r="F268" s="59">
        <v>18574000</v>
      </c>
      <c r="G268" s="89">
        <f>6809454+6180292+3122312</f>
        <v>16112058</v>
      </c>
      <c r="H268" s="89">
        <v>3122312</v>
      </c>
      <c r="J268" s="60"/>
      <c r="K268" s="60"/>
    </row>
    <row r="269" spans="1:11">
      <c r="A269" s="41" t="s">
        <v>478</v>
      </c>
      <c r="B269" s="95" t="s">
        <v>479</v>
      </c>
      <c r="C269" s="114"/>
      <c r="D269" s="59">
        <v>14877000</v>
      </c>
      <c r="E269" s="59">
        <v>14877000</v>
      </c>
      <c r="F269" s="59">
        <v>7879000</v>
      </c>
      <c r="G269" s="89">
        <f>2237229+2327763+1863383</f>
        <v>6428375</v>
      </c>
      <c r="H269" s="89">
        <v>1863383</v>
      </c>
      <c r="J269" s="60"/>
      <c r="K269" s="60"/>
    </row>
    <row r="270" spans="1:11">
      <c r="B270" s="71" t="s">
        <v>480</v>
      </c>
      <c r="C270" s="114"/>
      <c r="D270" s="59"/>
      <c r="E270" s="59"/>
      <c r="F270" s="59"/>
      <c r="G270" s="89"/>
      <c r="H270" s="89"/>
      <c r="J270" s="60"/>
      <c r="K270" s="60"/>
    </row>
    <row r="271" spans="1:11" ht="30">
      <c r="A271" s="41" t="s">
        <v>228</v>
      </c>
      <c r="B271" s="96" t="s">
        <v>229</v>
      </c>
      <c r="C271" s="119">
        <f>C276+C272</f>
        <v>0</v>
      </c>
      <c r="D271" s="119">
        <f t="shared" ref="D271:H271" si="123">D276+D272</f>
        <v>0</v>
      </c>
      <c r="E271" s="119">
        <f t="shared" si="123"/>
        <v>0</v>
      </c>
      <c r="F271" s="119">
        <f t="shared" si="123"/>
        <v>0</v>
      </c>
      <c r="G271" s="119">
        <f t="shared" si="123"/>
        <v>0</v>
      </c>
      <c r="H271" s="119">
        <f t="shared" si="123"/>
        <v>0</v>
      </c>
    </row>
    <row r="272" spans="1:11">
      <c r="A272" s="41" t="s">
        <v>481</v>
      </c>
      <c r="B272" s="96" t="s">
        <v>482</v>
      </c>
      <c r="C272" s="119">
        <f>C273+C274+C275</f>
        <v>0</v>
      </c>
      <c r="D272" s="119">
        <f t="shared" ref="D272:H272" si="124">D273+D274+D275</f>
        <v>0</v>
      </c>
      <c r="E272" s="119">
        <f t="shared" si="124"/>
        <v>0</v>
      </c>
      <c r="F272" s="119">
        <f t="shared" si="124"/>
        <v>0</v>
      </c>
      <c r="G272" s="119">
        <f t="shared" si="124"/>
        <v>0</v>
      </c>
      <c r="H272" s="119">
        <f t="shared" si="124"/>
        <v>0</v>
      </c>
    </row>
    <row r="273" spans="1:8">
      <c r="A273" s="41" t="s">
        <v>483</v>
      </c>
      <c r="B273" s="96" t="s">
        <v>484</v>
      </c>
      <c r="C273" s="119"/>
      <c r="D273" s="59"/>
      <c r="E273" s="59"/>
      <c r="F273" s="59"/>
      <c r="G273" s="119"/>
      <c r="H273" s="119"/>
    </row>
    <row r="274" spans="1:8">
      <c r="A274" s="41" t="s">
        <v>485</v>
      </c>
      <c r="B274" s="96" t="s">
        <v>486</v>
      </c>
      <c r="C274" s="119"/>
      <c r="D274" s="59"/>
      <c r="E274" s="59"/>
      <c r="F274" s="59"/>
      <c r="G274" s="119"/>
      <c r="H274" s="119"/>
    </row>
    <row r="275" spans="1:8">
      <c r="A275" s="41" t="s">
        <v>487</v>
      </c>
      <c r="B275" s="96" t="s">
        <v>488</v>
      </c>
      <c r="C275" s="119"/>
      <c r="D275" s="59"/>
      <c r="E275" s="59"/>
      <c r="F275" s="59"/>
      <c r="G275" s="119"/>
      <c r="H275" s="119"/>
    </row>
    <row r="276" spans="1:8">
      <c r="A276" s="41" t="s">
        <v>489</v>
      </c>
      <c r="B276" s="96" t="s">
        <v>518</v>
      </c>
      <c r="C276" s="119">
        <f>C277+C278+C279</f>
        <v>0</v>
      </c>
      <c r="D276" s="119">
        <f t="shared" ref="D276:H276" si="125">D277+D278+D279</f>
        <v>0</v>
      </c>
      <c r="E276" s="119">
        <f t="shared" si="125"/>
        <v>0</v>
      </c>
      <c r="F276" s="119">
        <f t="shared" si="125"/>
        <v>0</v>
      </c>
      <c r="G276" s="119">
        <f t="shared" si="125"/>
        <v>0</v>
      </c>
      <c r="H276" s="119">
        <f t="shared" si="125"/>
        <v>0</v>
      </c>
    </row>
    <row r="277" spans="1:8">
      <c r="A277" s="41" t="s">
        <v>490</v>
      </c>
      <c r="B277" s="97" t="s">
        <v>491</v>
      </c>
      <c r="C277" s="89"/>
      <c r="D277" s="59"/>
      <c r="E277" s="59"/>
      <c r="F277" s="59"/>
      <c r="G277" s="89"/>
      <c r="H277" s="89"/>
    </row>
    <row r="278" spans="1:8">
      <c r="A278" s="41" t="s">
        <v>492</v>
      </c>
      <c r="B278" s="97" t="s">
        <v>493</v>
      </c>
      <c r="C278" s="89"/>
      <c r="D278" s="59"/>
      <c r="E278" s="59"/>
      <c r="F278" s="59"/>
      <c r="G278" s="89"/>
      <c r="H278" s="89"/>
    </row>
    <row r="279" spans="1:8">
      <c r="A279" s="41" t="s">
        <v>494</v>
      </c>
      <c r="B279" s="97" t="s">
        <v>488</v>
      </c>
      <c r="C279" s="89"/>
      <c r="D279" s="59"/>
      <c r="E279" s="59"/>
      <c r="F279" s="59"/>
      <c r="G279" s="89"/>
      <c r="H279" s="89"/>
    </row>
    <row r="280" spans="1:8">
      <c r="A280" s="41" t="s">
        <v>495</v>
      </c>
      <c r="B280" s="96" t="s">
        <v>496</v>
      </c>
      <c r="C280" s="119">
        <f>C281</f>
        <v>0</v>
      </c>
      <c r="D280" s="119">
        <f t="shared" ref="D280:H281" si="126">D281</f>
        <v>0</v>
      </c>
      <c r="E280" s="119">
        <f t="shared" si="126"/>
        <v>0</v>
      </c>
      <c r="F280" s="119">
        <f t="shared" si="126"/>
        <v>0</v>
      </c>
      <c r="G280" s="119">
        <f t="shared" si="126"/>
        <v>0</v>
      </c>
      <c r="H280" s="119">
        <f t="shared" si="126"/>
        <v>0</v>
      </c>
    </row>
    <row r="281" spans="1:8">
      <c r="A281" s="41" t="s">
        <v>497</v>
      </c>
      <c r="B281" s="96" t="s">
        <v>217</v>
      </c>
      <c r="C281" s="119">
        <f>C282</f>
        <v>0</v>
      </c>
      <c r="D281" s="119">
        <f t="shared" si="126"/>
        <v>0</v>
      </c>
      <c r="E281" s="119">
        <f t="shared" si="126"/>
        <v>0</v>
      </c>
      <c r="F281" s="119">
        <f t="shared" si="126"/>
        <v>0</v>
      </c>
      <c r="G281" s="119">
        <f t="shared" si="126"/>
        <v>0</v>
      </c>
      <c r="H281" s="119">
        <f t="shared" si="126"/>
        <v>0</v>
      </c>
    </row>
    <row r="282" spans="1:8" ht="30">
      <c r="A282" s="41" t="s">
        <v>498</v>
      </c>
      <c r="B282" s="96" t="s">
        <v>229</v>
      </c>
      <c r="C282" s="119">
        <f>C285</f>
        <v>0</v>
      </c>
      <c r="D282" s="119">
        <f t="shared" ref="D282:H282" si="127">D285</f>
        <v>0</v>
      </c>
      <c r="E282" s="119">
        <f t="shared" si="127"/>
        <v>0</v>
      </c>
      <c r="F282" s="119">
        <f t="shared" si="127"/>
        <v>0</v>
      </c>
      <c r="G282" s="119">
        <f t="shared" si="127"/>
        <v>0</v>
      </c>
      <c r="H282" s="119">
        <f t="shared" si="127"/>
        <v>0</v>
      </c>
    </row>
    <row r="283" spans="1:8">
      <c r="A283" s="41" t="s">
        <v>499</v>
      </c>
      <c r="B283" s="96" t="s">
        <v>242</v>
      </c>
      <c r="C283" s="119">
        <f t="shared" ref="C283:H288" si="128">C284</f>
        <v>0</v>
      </c>
      <c r="D283" s="119">
        <f t="shared" si="128"/>
        <v>0</v>
      </c>
      <c r="E283" s="119">
        <f t="shared" si="128"/>
        <v>0</v>
      </c>
      <c r="F283" s="119">
        <f t="shared" si="128"/>
        <v>0</v>
      </c>
      <c r="G283" s="119">
        <f t="shared" si="128"/>
        <v>0</v>
      </c>
      <c r="H283" s="119">
        <f t="shared" si="128"/>
        <v>0</v>
      </c>
    </row>
    <row r="284" spans="1:8">
      <c r="A284" s="41" t="s">
        <v>500</v>
      </c>
      <c r="B284" s="96" t="s">
        <v>217</v>
      </c>
      <c r="C284" s="119">
        <f t="shared" si="128"/>
        <v>0</v>
      </c>
      <c r="D284" s="119">
        <f t="shared" si="128"/>
        <v>0</v>
      </c>
      <c r="E284" s="119">
        <f t="shared" si="128"/>
        <v>0</v>
      </c>
      <c r="F284" s="119">
        <f t="shared" si="128"/>
        <v>0</v>
      </c>
      <c r="G284" s="119">
        <f t="shared" si="128"/>
        <v>0</v>
      </c>
      <c r="H284" s="119">
        <f t="shared" si="128"/>
        <v>0</v>
      </c>
    </row>
    <row r="285" spans="1:8" ht="30">
      <c r="A285" s="41" t="s">
        <v>501</v>
      </c>
      <c r="B285" s="97" t="s">
        <v>229</v>
      </c>
      <c r="C285" s="119">
        <f t="shared" si="128"/>
        <v>0</v>
      </c>
      <c r="D285" s="119">
        <f t="shared" si="128"/>
        <v>0</v>
      </c>
      <c r="E285" s="119">
        <f t="shared" si="128"/>
        <v>0</v>
      </c>
      <c r="F285" s="119">
        <f t="shared" si="128"/>
        <v>0</v>
      </c>
      <c r="G285" s="119">
        <f t="shared" si="128"/>
        <v>0</v>
      </c>
      <c r="H285" s="119">
        <f t="shared" si="128"/>
        <v>0</v>
      </c>
    </row>
    <row r="286" spans="1:8">
      <c r="A286" s="41" t="s">
        <v>502</v>
      </c>
      <c r="B286" s="96" t="s">
        <v>518</v>
      </c>
      <c r="C286" s="119">
        <f t="shared" si="128"/>
        <v>0</v>
      </c>
      <c r="D286" s="119">
        <f t="shared" si="128"/>
        <v>0</v>
      </c>
      <c r="E286" s="119">
        <f t="shared" si="128"/>
        <v>0</v>
      </c>
      <c r="F286" s="119">
        <f t="shared" si="128"/>
        <v>0</v>
      </c>
      <c r="G286" s="119">
        <f t="shared" si="128"/>
        <v>0</v>
      </c>
      <c r="H286" s="119">
        <f t="shared" si="128"/>
        <v>0</v>
      </c>
    </row>
    <row r="287" spans="1:8">
      <c r="A287" s="41" t="s">
        <v>503</v>
      </c>
      <c r="B287" s="96" t="s">
        <v>493</v>
      </c>
      <c r="C287" s="119">
        <f t="shared" si="128"/>
        <v>0</v>
      </c>
      <c r="D287" s="119">
        <f t="shared" si="128"/>
        <v>0</v>
      </c>
      <c r="E287" s="119">
        <f t="shared" si="128"/>
        <v>0</v>
      </c>
      <c r="F287" s="119">
        <f t="shared" si="128"/>
        <v>0</v>
      </c>
      <c r="G287" s="119">
        <f t="shared" si="128"/>
        <v>0</v>
      </c>
      <c r="H287" s="119">
        <f t="shared" si="128"/>
        <v>0</v>
      </c>
    </row>
    <row r="288" spans="1:8">
      <c r="A288" s="41" t="s">
        <v>504</v>
      </c>
      <c r="B288" s="96" t="s">
        <v>505</v>
      </c>
      <c r="C288" s="119">
        <f t="shared" si="128"/>
        <v>0</v>
      </c>
      <c r="D288" s="119">
        <f t="shared" si="128"/>
        <v>0</v>
      </c>
      <c r="E288" s="119">
        <f t="shared" si="128"/>
        <v>0</v>
      </c>
      <c r="F288" s="119">
        <f t="shared" si="128"/>
        <v>0</v>
      </c>
      <c r="G288" s="119">
        <f t="shared" si="128"/>
        <v>0</v>
      </c>
      <c r="H288" s="119">
        <f t="shared" si="128"/>
        <v>0</v>
      </c>
    </row>
    <row r="289" spans="1:8">
      <c r="A289" s="41" t="s">
        <v>506</v>
      </c>
      <c r="B289" s="97" t="s">
        <v>507</v>
      </c>
      <c r="C289" s="89"/>
      <c r="D289" s="59"/>
      <c r="E289" s="59"/>
      <c r="F289" s="59"/>
      <c r="G289" s="89"/>
      <c r="H289" s="66"/>
    </row>
    <row r="291" spans="1:8">
      <c r="B291" s="11" t="s">
        <v>522</v>
      </c>
    </row>
    <row r="292" spans="1:8">
      <c r="B292" s="11"/>
      <c r="F292" s="40" t="s">
        <v>524</v>
      </c>
      <c r="G292" s="11"/>
    </row>
    <row r="293" spans="1:8">
      <c r="B293" s="11" t="s">
        <v>521</v>
      </c>
      <c r="F293" s="40"/>
      <c r="G293" s="11"/>
    </row>
    <row r="294" spans="1:8">
      <c r="F294" s="40" t="s">
        <v>523</v>
      </c>
      <c r="G294" s="11"/>
    </row>
  </sheetData>
  <protectedRanges>
    <protectedRange sqref="B2:B3 C1:C3" name="Zonă1_1" securityDescriptor="O:WDG:WDD:(A;;CC;;;WD)"/>
    <protectedRange sqref="G144:H145 G69:H69 G37:H40 G162:H164 G53:H56 G201:H201 G133:H137 G99:H105 G91:H93 G111:H112 G95:H96 G114:H115 G117:H118 G120:H121 G123:H124 G126:H127 G147:H148 G150:H154 G156:H159 G166:H169 G207:H211 G139:H141 G181:H183 G25:H33 G45:H50 G61:H65 G80:H84 G35:H35"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2023-03-10T10:04:37Z</cp:lastPrinted>
  <dcterms:created xsi:type="dcterms:W3CDTF">2023-02-07T08:41:31Z</dcterms:created>
  <dcterms:modified xsi:type="dcterms:W3CDTF">2023-05-11T10:41:29Z</dcterms:modified>
</cp:coreProperties>
</file>